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tableau de base" sheetId="1" r:id="rId1"/>
    <sheet name="aid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<sst xmlns="http://schemas.openxmlformats.org/spreadsheetml/2006/main" count="183" uniqueCount="73">
  <si>
    <t>Ipuda</t>
  </si>
  <si>
    <t>Fb</t>
  </si>
  <si>
    <t>mm</t>
  </si>
  <si>
    <t>B</t>
  </si>
  <si>
    <t>Bwl</t>
  </si>
  <si>
    <t>D1</t>
  </si>
  <si>
    <t>D2</t>
  </si>
  <si>
    <t>A</t>
  </si>
  <si>
    <t>cm2</t>
  </si>
  <si>
    <t>Lwl</t>
  </si>
  <si>
    <t>cm</t>
  </si>
  <si>
    <t>Cb</t>
  </si>
  <si>
    <t>W</t>
  </si>
  <si>
    <t>cm3</t>
  </si>
  <si>
    <t>x</t>
  </si>
  <si>
    <t>Mom't</t>
  </si>
  <si>
    <t>(g)</t>
  </si>
  <si>
    <t>(cm)</t>
  </si>
  <si>
    <t>(g.cm)</t>
  </si>
  <si>
    <t>Coque</t>
  </si>
  <si>
    <t>Pile / RC</t>
  </si>
  <si>
    <t>Servo 1</t>
  </si>
  <si>
    <t>Servo 2</t>
  </si>
  <si>
    <t>Teau</t>
  </si>
  <si>
    <t>Plest</t>
  </si>
  <si>
    <t>Hmat</t>
  </si>
  <si>
    <t>Pgree</t>
  </si>
  <si>
    <t>Stabilite</t>
  </si>
  <si>
    <t>OC</t>
  </si>
  <si>
    <t>D1/3</t>
  </si>
  <si>
    <t>CM</t>
  </si>
  <si>
    <t>0.044 LB3/W</t>
  </si>
  <si>
    <t>GO</t>
  </si>
  <si>
    <t xml:space="preserve">reported </t>
  </si>
  <si>
    <t>GM</t>
  </si>
  <si>
    <t>OC+CM+GO</t>
  </si>
  <si>
    <t>Stab</t>
  </si>
  <si>
    <t>g.cm</t>
  </si>
  <si>
    <t>Greement</t>
  </si>
  <si>
    <t>Surf GV</t>
  </si>
  <si>
    <t>dm2</t>
  </si>
  <si>
    <t>bome</t>
  </si>
  <si>
    <t>Surf foc</t>
  </si>
  <si>
    <t>base</t>
  </si>
  <si>
    <t>Total</t>
  </si>
  <si>
    <t>V(30°)</t>
  </si>
  <si>
    <t>m/s</t>
  </si>
  <si>
    <t>TBN</t>
  </si>
  <si>
    <t>Poids dans l'air</t>
  </si>
  <si>
    <t>Umba</t>
  </si>
  <si>
    <t>g</t>
  </si>
  <si>
    <t>Roastbeef</t>
  </si>
  <si>
    <t>Depl't coque</t>
  </si>
  <si>
    <t>Les chiffres a renseigner sont en bleu</t>
  </si>
  <si>
    <t>NOTES :</t>
  </si>
  <si>
    <t>On commence par estimer le devis de poids, le calcul en deduit le deplacement de coque requis</t>
  </si>
  <si>
    <t>1. Poids</t>
  </si>
  <si>
    <t>2. Maitre bau</t>
  </si>
  <si>
    <t>Ensuite, on etablit les proportions de la coque, la stabilite obtenue est calculee</t>
  </si>
  <si>
    <t>On ajuste la voilure (et la hauteur du mat) pour obtenir V(30°) desire.</t>
  </si>
  <si>
    <t>Les dimensions principales obtenues serviront de base aux etapes suivantes.</t>
  </si>
  <si>
    <t>Coller les données :</t>
  </si>
  <si>
    <t>Pt</t>
  </si>
  <si>
    <t>FB</t>
  </si>
  <si>
    <t>wl</t>
  </si>
  <si>
    <t>Kprism</t>
  </si>
  <si>
    <t>par defaut</t>
  </si>
  <si>
    <t>franc-bord (milieu)</t>
  </si>
  <si>
    <t>Bau</t>
  </si>
  <si>
    <t>Bau a la flottaison</t>
  </si>
  <si>
    <t>Creux dans l'axe</t>
  </si>
  <si>
    <t>creux a mi largeur de flottaison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</si>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</sst>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\ ##0.0"/>
    <numFmt numFmtId="197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sz val="10"/>
      <color indexed="12"/>
      <name val="MS Sans Serif"/>
      <family val="0"/>
    </font>
    <font>
      <sz val="10"/>
      <name val="MS Sans Serif"/>
      <family val="0"/>
    </font>
    <font>
      <sz val="10"/>
      <color indexed="55"/>
      <name val="Arial"/>
      <family val="2"/>
    </font>
    <font>
      <sz val="10"/>
      <color indexed="55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0" fillId="0" borderId="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9" fontId="9" fillId="0" borderId="0" xfId="19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Fill="1" applyBorder="1" applyAlignment="1" quotePrefix="1">
      <alignment/>
    </xf>
    <xf numFmtId="1" fontId="5" fillId="0" borderId="0" xfId="0" applyNumberFormat="1" applyFont="1" applyFill="1" applyBorder="1" applyAlignment="1" quotePrefix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" fontId="7" fillId="0" borderId="0" xfId="0" applyNumberFormat="1" applyFont="1" applyFill="1" applyBorder="1" applyAlignment="1" quotePrefix="1">
      <alignment/>
    </xf>
    <xf numFmtId="0" fontId="0" fillId="0" borderId="0" xfId="0" applyBorder="1" applyAlignment="1">
      <alignment horizontal="left" indent="1"/>
    </xf>
    <xf numFmtId="1" fontId="0" fillId="0" borderId="0" xfId="0" applyNumberFormat="1" applyBorder="1" applyAlignment="1">
      <alignment horizontal="left" inden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165" fontId="1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'[1]Sheet1'!$B$3:$B$12</c:f>
              <c:numCache>
                <c:ptCount val="10"/>
                <c:pt idx="0">
                  <c:v>-12.647727272727272</c:v>
                </c:pt>
                <c:pt idx="1">
                  <c:v>-11.715280032467533</c:v>
                </c:pt>
                <c:pt idx="2">
                  <c:v>-9.484719967532467</c:v>
                </c:pt>
                <c:pt idx="3">
                  <c:v>-5.3</c:v>
                </c:pt>
                <c:pt idx="4">
                  <c:v>-1.06</c:v>
                </c:pt>
                <c:pt idx="5">
                  <c:v>1.06</c:v>
                </c:pt>
                <c:pt idx="6">
                  <c:v>5.3</c:v>
                </c:pt>
                <c:pt idx="7">
                  <c:v>9.484719967532467</c:v>
                </c:pt>
                <c:pt idx="8">
                  <c:v>11.715280032467533</c:v>
                </c:pt>
                <c:pt idx="9">
                  <c:v>12.647727272727272</c:v>
                </c:pt>
              </c:numCache>
            </c:numRef>
          </c:xVal>
          <c:yVal>
            <c:numRef>
              <c:f>'[1]Sheet1'!$C$3:$C$12</c:f>
              <c:numCache>
                <c:ptCount val="10"/>
                <c:pt idx="0">
                  <c:v>3.4</c:v>
                </c:pt>
                <c:pt idx="1">
                  <c:v>0.85</c:v>
                </c:pt>
                <c:pt idx="2">
                  <c:v>-0.85</c:v>
                </c:pt>
                <c:pt idx="3">
                  <c:v>-2.2</c:v>
                </c:pt>
                <c:pt idx="4">
                  <c:v>-2.5</c:v>
                </c:pt>
                <c:pt idx="5">
                  <c:v>-2.5</c:v>
                </c:pt>
                <c:pt idx="6">
                  <c:v>-2.2</c:v>
                </c:pt>
                <c:pt idx="7">
                  <c:v>-0.85</c:v>
                </c:pt>
                <c:pt idx="8">
                  <c:v>0.85</c:v>
                </c:pt>
                <c:pt idx="9">
                  <c:v>3.4</c:v>
                </c:pt>
              </c:numCache>
            </c:numRef>
          </c:yVal>
          <c:smooth val="0"/>
        </c:ser>
        <c:axId val="12156315"/>
        <c:axId val="42297972"/>
      </c:scatterChart>
      <c:valAx>
        <c:axId val="12156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97972"/>
        <c:crosses val="autoZero"/>
        <c:crossBetween val="midCat"/>
        <c:dispUnits/>
      </c:valAx>
      <c:valAx>
        <c:axId val="42297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1563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5</xdr:col>
      <xdr:colOff>314325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314325" y="323850"/>
        <a:ext cx="30480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9525</xdr:rowOff>
    </xdr:from>
    <xdr:to>
      <xdr:col>5</xdr:col>
      <xdr:colOff>0</xdr:colOff>
      <xdr:row>26</xdr:row>
      <xdr:rowOff>142875</xdr:rowOff>
    </xdr:to>
    <xdr:sp>
      <xdr:nvSpPr>
        <xdr:cNvPr id="2" name="Arc 2"/>
        <xdr:cNvSpPr>
          <a:spLocks/>
        </xdr:cNvSpPr>
      </xdr:nvSpPr>
      <xdr:spPr>
        <a:xfrm rot="5400000" flipV="1">
          <a:off x="609600" y="3409950"/>
          <a:ext cx="2438400" cy="942975"/>
        </a:xfrm>
        <a:prstGeom prst="arc">
          <a:avLst>
            <a:gd name="adj1" fmla="val -27744319"/>
            <a:gd name="adj2" fmla="val 27807722"/>
            <a:gd name="adj3" fmla="val -46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09600" y="3886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828800" y="34004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09600" y="34004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0</xdr:rowOff>
    </xdr:from>
    <xdr:to>
      <xdr:col>5</xdr:col>
      <xdr:colOff>200025</xdr:colOff>
      <xdr:row>24</xdr:row>
      <xdr:rowOff>0</xdr:rowOff>
    </xdr:to>
    <xdr:grpSp>
      <xdr:nvGrpSpPr>
        <xdr:cNvPr id="6" name="Group 8"/>
        <xdr:cNvGrpSpPr>
          <a:grpSpLocks/>
        </xdr:cNvGrpSpPr>
      </xdr:nvGrpSpPr>
      <xdr:grpSpPr>
        <a:xfrm>
          <a:off x="3248025" y="3400425"/>
          <a:ext cx="0" cy="485775"/>
          <a:chOff x="341" y="340"/>
          <a:chExt cx="0" cy="51"/>
        </a:xfrm>
        <a:solidFill>
          <a:srgbClr val="FFFFFF"/>
        </a:solidFill>
      </xdr:grpSpPr>
      <xdr:sp>
        <xdr:nvSpPr>
          <xdr:cNvPr id="7" name="Line 6"/>
          <xdr:cNvSpPr>
            <a:spLocks/>
          </xdr:cNvSpPr>
        </xdr:nvSpPr>
        <xdr:spPr>
          <a:xfrm>
            <a:off x="341" y="35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V="1">
            <a:off x="341" y="34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26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1828800" y="3886200"/>
          <a:ext cx="28575" cy="457200"/>
          <a:chOff x="341" y="340"/>
          <a:chExt cx="0" cy="51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341" y="35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341" y="34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23</xdr:row>
      <xdr:rowOff>104775</xdr:rowOff>
    </xdr:from>
    <xdr:to>
      <xdr:col>3</xdr:col>
      <xdr:colOff>0</xdr:colOff>
      <xdr:row>28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1828800" y="3829050"/>
          <a:ext cx="0" cy="762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123825</xdr:rowOff>
    </xdr:from>
    <xdr:to>
      <xdr:col>3</xdr:col>
      <xdr:colOff>533400</xdr:colOff>
      <xdr:row>28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2362200" y="3848100"/>
          <a:ext cx="0" cy="742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23</xdr:row>
      <xdr:rowOff>123825</xdr:rowOff>
    </xdr:from>
    <xdr:to>
      <xdr:col>4</xdr:col>
      <xdr:colOff>447675</xdr:colOff>
      <xdr:row>29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2886075" y="3848100"/>
          <a:ext cx="0" cy="904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28</xdr:row>
      <xdr:rowOff>0</xdr:rowOff>
    </xdr:from>
    <xdr:to>
      <xdr:col>4</xdr:col>
      <xdr:colOff>495300</xdr:colOff>
      <xdr:row>28</xdr:row>
      <xdr:rowOff>0</xdr:rowOff>
    </xdr:to>
    <xdr:sp>
      <xdr:nvSpPr>
        <xdr:cNvPr id="15" name="Line 15"/>
        <xdr:cNvSpPr>
          <a:spLocks/>
        </xdr:cNvSpPr>
      </xdr:nvSpPr>
      <xdr:spPr>
        <a:xfrm>
          <a:off x="1790700" y="4533900"/>
          <a:ext cx="1143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27</xdr:row>
      <xdr:rowOff>95250</xdr:rowOff>
    </xdr:from>
    <xdr:to>
      <xdr:col>3</xdr:col>
      <xdr:colOff>304800</xdr:colOff>
      <xdr:row>28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2105025" y="4467225"/>
          <a:ext cx="285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27</xdr:row>
      <xdr:rowOff>95250</xdr:rowOff>
    </xdr:from>
    <xdr:to>
      <xdr:col>4</xdr:col>
      <xdr:colOff>200025</xdr:colOff>
      <xdr:row>28</xdr:row>
      <xdr:rowOff>76200</xdr:rowOff>
    </xdr:to>
    <xdr:sp>
      <xdr:nvSpPr>
        <xdr:cNvPr id="17" name="Line 18"/>
        <xdr:cNvSpPr>
          <a:spLocks/>
        </xdr:cNvSpPr>
      </xdr:nvSpPr>
      <xdr:spPr>
        <a:xfrm flipH="1">
          <a:off x="2600325" y="4467225"/>
          <a:ext cx="38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24</xdr:row>
      <xdr:rowOff>0</xdr:rowOff>
    </xdr:from>
    <xdr:to>
      <xdr:col>3</xdr:col>
      <xdr:colOff>561975</xdr:colOff>
      <xdr:row>26</xdr:row>
      <xdr:rowOff>47625</xdr:rowOff>
    </xdr:to>
    <xdr:grpSp>
      <xdr:nvGrpSpPr>
        <xdr:cNvPr id="18" name="Group 20"/>
        <xdr:cNvGrpSpPr>
          <a:grpSpLocks/>
        </xdr:cNvGrpSpPr>
      </xdr:nvGrpSpPr>
      <xdr:grpSpPr>
        <a:xfrm>
          <a:off x="2362200" y="3886200"/>
          <a:ext cx="28575" cy="371475"/>
          <a:chOff x="341" y="340"/>
          <a:chExt cx="0" cy="51"/>
        </a:xfrm>
        <a:solidFill>
          <a:srgbClr val="FFFFFF"/>
        </a:solidFill>
      </xdr:grpSpPr>
      <xdr:sp>
        <xdr:nvSpPr>
          <xdr:cNvPr id="19" name="Line 21"/>
          <xdr:cNvSpPr>
            <a:spLocks/>
          </xdr:cNvSpPr>
        </xdr:nvSpPr>
        <xdr:spPr>
          <a:xfrm>
            <a:off x="341" y="35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 flipV="1">
            <a:off x="341" y="34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447675</xdr:colOff>
      <xdr:row>29</xdr:row>
      <xdr:rowOff>0</xdr:rowOff>
    </xdr:to>
    <xdr:sp>
      <xdr:nvSpPr>
        <xdr:cNvPr id="21" name="Line 24"/>
        <xdr:cNvSpPr>
          <a:spLocks/>
        </xdr:cNvSpPr>
      </xdr:nvSpPr>
      <xdr:spPr>
        <a:xfrm>
          <a:off x="1828800" y="4695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771525" y="4695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vid%20Nicholls\My%20Documents\Pascal\Maquettes\Maquettes%20old%20files\Calcu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-12.647727272727272</v>
          </cell>
          <cell r="C3">
            <v>3.4</v>
          </cell>
        </row>
        <row r="4">
          <cell r="B4">
            <v>-11.715280032467533</v>
          </cell>
          <cell r="C4">
            <v>0.85</v>
          </cell>
        </row>
        <row r="5">
          <cell r="B5">
            <v>-9.484719967532467</v>
          </cell>
          <cell r="C5">
            <v>-0.85</v>
          </cell>
        </row>
        <row r="6">
          <cell r="B6">
            <v>-5.3</v>
          </cell>
          <cell r="C6">
            <v>-2.2</v>
          </cell>
        </row>
        <row r="7">
          <cell r="B7">
            <v>-1.06</v>
          </cell>
          <cell r="C7">
            <v>-2.5</v>
          </cell>
        </row>
        <row r="8">
          <cell r="B8">
            <v>1.06</v>
          </cell>
          <cell r="C8">
            <v>-2.5</v>
          </cell>
        </row>
        <row r="9">
          <cell r="B9">
            <v>5.3</v>
          </cell>
          <cell r="C9">
            <v>-2.2</v>
          </cell>
        </row>
        <row r="10">
          <cell r="B10">
            <v>9.484719967532467</v>
          </cell>
          <cell r="C10">
            <v>-0.85</v>
          </cell>
        </row>
        <row r="11">
          <cell r="B11">
            <v>11.715280032467533</v>
          </cell>
          <cell r="C11">
            <v>0.85</v>
          </cell>
        </row>
        <row r="12">
          <cell r="B12">
            <v>12.647727272727272</v>
          </cell>
          <cell r="C12">
            <v>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workbookViewId="0" topLeftCell="A1">
      <pane ySplit="750" topLeftCell="BM19" activePane="bottomLeft" state="split"/>
      <selection pane="topLeft" activeCell="M1" sqref="M1"/>
      <selection pane="bottomLeft" activeCell="B24" sqref="B24:B28"/>
    </sheetView>
  </sheetViews>
  <sheetFormatPr defaultColWidth="9.140625" defaultRowHeight="12.75"/>
  <cols>
    <col min="1" max="1" width="6.57421875" style="3" customWidth="1"/>
    <col min="2" max="2" width="6.7109375" style="4" customWidth="1"/>
    <col min="3" max="3" width="2.00390625" style="4" customWidth="1"/>
    <col min="4" max="6" width="6.7109375" style="6" customWidth="1"/>
    <col min="7" max="7" width="1.57421875" style="6" customWidth="1"/>
    <col min="8" max="10" width="6.7109375" style="6" customWidth="1"/>
    <col min="11" max="11" width="1.57421875" style="6" customWidth="1"/>
    <col min="12" max="14" width="6.7109375" style="6" customWidth="1"/>
    <col min="15" max="15" width="1.57421875" style="6" customWidth="1"/>
    <col min="16" max="18" width="6.7109375" style="6" customWidth="1"/>
    <col min="19" max="19" width="1.57421875" style="6" customWidth="1"/>
    <col min="20" max="16384" width="9.140625" style="8" customWidth="1"/>
  </cols>
  <sheetData>
    <row r="1" spans="4:19" s="1" customFormat="1" ht="12.75">
      <c r="D1" s="2"/>
      <c r="E1" s="2" t="s">
        <v>0</v>
      </c>
      <c r="F1" s="2"/>
      <c r="G1" s="2"/>
      <c r="H1" s="2"/>
      <c r="I1" s="2" t="s">
        <v>47</v>
      </c>
      <c r="J1" s="2"/>
      <c r="K1" s="2"/>
      <c r="L1" s="2"/>
      <c r="M1" s="2" t="s">
        <v>49</v>
      </c>
      <c r="N1" s="2"/>
      <c r="O1" s="2"/>
      <c r="P1" s="2"/>
      <c r="Q1" s="2" t="s">
        <v>51</v>
      </c>
      <c r="R1" s="2"/>
      <c r="S1" s="2"/>
    </row>
    <row r="2" spans="4:19" s="1" customFormat="1" ht="12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8" t="s">
        <v>56</v>
      </c>
      <c r="C3" s="5"/>
      <c r="G3" s="7"/>
      <c r="K3" s="7"/>
      <c r="O3" s="7"/>
      <c r="S3" s="7"/>
    </row>
    <row r="4" spans="1:19" ht="12.75">
      <c r="A4" s="18"/>
      <c r="C4" s="5"/>
      <c r="G4" s="7"/>
      <c r="K4" s="7"/>
      <c r="O4" s="7"/>
      <c r="S4" s="7"/>
    </row>
    <row r="5" spans="1:19" ht="12.75">
      <c r="A5" s="8"/>
      <c r="B5" s="8"/>
      <c r="C5" s="19"/>
      <c r="D5" s="20" t="s">
        <v>12</v>
      </c>
      <c r="E5" s="20" t="s">
        <v>14</v>
      </c>
      <c r="F5" s="20" t="s">
        <v>15</v>
      </c>
      <c r="G5" s="21"/>
      <c r="H5" s="20" t="s">
        <v>12</v>
      </c>
      <c r="I5" s="20" t="s">
        <v>14</v>
      </c>
      <c r="J5" s="20" t="s">
        <v>15</v>
      </c>
      <c r="K5" s="21"/>
      <c r="L5" s="20" t="s">
        <v>12</v>
      </c>
      <c r="M5" s="20" t="s">
        <v>14</v>
      </c>
      <c r="N5" s="20" t="s">
        <v>15</v>
      </c>
      <c r="O5" s="21"/>
      <c r="P5" s="20" t="s">
        <v>12</v>
      </c>
      <c r="Q5" s="20" t="s">
        <v>14</v>
      </c>
      <c r="R5" s="20" t="s">
        <v>15</v>
      </c>
      <c r="S5" s="21"/>
    </row>
    <row r="6" spans="1:19" ht="12.75">
      <c r="A6" s="22"/>
      <c r="B6" s="8"/>
      <c r="C6" s="19"/>
      <c r="D6" s="20" t="s">
        <v>16</v>
      </c>
      <c r="E6" s="20" t="s">
        <v>17</v>
      </c>
      <c r="F6" s="20" t="s">
        <v>18</v>
      </c>
      <c r="G6" s="21"/>
      <c r="H6" s="20" t="s">
        <v>16</v>
      </c>
      <c r="I6" s="20" t="s">
        <v>17</v>
      </c>
      <c r="J6" s="20" t="s">
        <v>18</v>
      </c>
      <c r="K6" s="21"/>
      <c r="L6" s="20" t="s">
        <v>16</v>
      </c>
      <c r="M6" s="20" t="s">
        <v>17</v>
      </c>
      <c r="N6" s="20" t="s">
        <v>18</v>
      </c>
      <c r="O6" s="21"/>
      <c r="P6" s="20" t="s">
        <v>16</v>
      </c>
      <c r="Q6" s="20" t="s">
        <v>17</v>
      </c>
      <c r="R6" s="20" t="s">
        <v>18</v>
      </c>
      <c r="S6" s="21"/>
    </row>
    <row r="7" spans="3:19" ht="6" customHeight="1">
      <c r="C7" s="5"/>
      <c r="G7" s="7"/>
      <c r="K7" s="7"/>
      <c r="O7" s="7"/>
      <c r="S7" s="7"/>
    </row>
    <row r="8" spans="2:19" ht="12.75">
      <c r="B8" s="4" t="s">
        <v>19</v>
      </c>
      <c r="C8" s="5"/>
      <c r="D8" s="25">
        <v>180</v>
      </c>
      <c r="E8" s="6">
        <f>(D24-D27)/20</f>
        <v>-0.65</v>
      </c>
      <c r="F8" s="6">
        <f>E8*D8</f>
        <v>-117</v>
      </c>
      <c r="G8" s="7"/>
      <c r="H8" s="25">
        <v>140</v>
      </c>
      <c r="I8" s="6">
        <f>(H24-H27)/20</f>
        <v>-0.1</v>
      </c>
      <c r="J8" s="6">
        <f>I8*H8</f>
        <v>-14</v>
      </c>
      <c r="K8" s="7"/>
      <c r="L8" s="25">
        <v>180</v>
      </c>
      <c r="M8" s="6">
        <f>(L24-L27)/20</f>
        <v>-0.05</v>
      </c>
      <c r="N8" s="6">
        <f>M8*L8</f>
        <v>-9</v>
      </c>
      <c r="O8" s="7"/>
      <c r="P8" s="25">
        <v>200</v>
      </c>
      <c r="Q8" s="6">
        <f>(P24-P27)/20</f>
        <v>-2.25</v>
      </c>
      <c r="R8" s="6">
        <f>Q8*P8</f>
        <v>-450</v>
      </c>
      <c r="S8" s="7"/>
    </row>
    <row r="9" spans="2:19" ht="12.75">
      <c r="B9" s="4" t="s">
        <v>20</v>
      </c>
      <c r="C9" s="5"/>
      <c r="D9" s="25">
        <v>125</v>
      </c>
      <c r="E9" s="6">
        <f>-(D27-20)/10</f>
        <v>-1.6</v>
      </c>
      <c r="F9" s="6">
        <f>E9*D9</f>
        <v>-200</v>
      </c>
      <c r="G9" s="7"/>
      <c r="H9" s="25"/>
      <c r="I9" s="6">
        <f>-(H27-20)/10</f>
        <v>-0.9</v>
      </c>
      <c r="J9" s="6">
        <f>I9*H9</f>
        <v>0</v>
      </c>
      <c r="K9" s="7"/>
      <c r="L9" s="25">
        <v>125</v>
      </c>
      <c r="M9" s="6">
        <f>-(L27-20)/10</f>
        <v>-1.1</v>
      </c>
      <c r="N9" s="6">
        <f>M9*L9</f>
        <v>-137.5</v>
      </c>
      <c r="O9" s="7"/>
      <c r="P9" s="25"/>
      <c r="Q9" s="6">
        <f>-(P27-20)/10</f>
        <v>-5</v>
      </c>
      <c r="R9" s="6">
        <f>Q9*P9</f>
        <v>0</v>
      </c>
      <c r="S9" s="7"/>
    </row>
    <row r="10" spans="2:19" ht="12.75">
      <c r="B10" s="4" t="s">
        <v>21</v>
      </c>
      <c r="C10" s="5"/>
      <c r="D10" s="25">
        <v>37.5</v>
      </c>
      <c r="E10" s="6">
        <f>(D24-15)/10</f>
        <v>0.8</v>
      </c>
      <c r="F10" s="6">
        <f>E10*D10</f>
        <v>30</v>
      </c>
      <c r="G10" s="7"/>
      <c r="H10" s="25"/>
      <c r="I10" s="6">
        <f>(H24-15)/10</f>
        <v>1.2</v>
      </c>
      <c r="J10" s="6">
        <f>I10*H10</f>
        <v>0</v>
      </c>
      <c r="K10" s="7"/>
      <c r="L10" s="25">
        <v>37.5</v>
      </c>
      <c r="M10" s="6">
        <f>(L24-15)/10</f>
        <v>1.5</v>
      </c>
      <c r="N10" s="6">
        <f>M10*L10</f>
        <v>56.25</v>
      </c>
      <c r="O10" s="7"/>
      <c r="P10" s="25"/>
      <c r="Q10" s="6">
        <f>(P24-15)/10</f>
        <v>1</v>
      </c>
      <c r="R10" s="6">
        <f>Q10*P10</f>
        <v>0</v>
      </c>
      <c r="S10" s="7"/>
    </row>
    <row r="11" spans="2:19" ht="12.75">
      <c r="B11" s="4" t="s">
        <v>22</v>
      </c>
      <c r="C11" s="5"/>
      <c r="D11" s="25">
        <v>37.5</v>
      </c>
      <c r="E11" s="6">
        <f>E10</f>
        <v>0.8</v>
      </c>
      <c r="F11" s="6">
        <f>E11*D11</f>
        <v>30</v>
      </c>
      <c r="G11" s="7"/>
      <c r="H11" s="25"/>
      <c r="I11" s="6">
        <f>I10</f>
        <v>1.2</v>
      </c>
      <c r="J11" s="6">
        <f>I11*H11</f>
        <v>0</v>
      </c>
      <c r="K11" s="7"/>
      <c r="L11" s="25">
        <v>37.5</v>
      </c>
      <c r="M11" s="6">
        <f>M10</f>
        <v>1.5</v>
      </c>
      <c r="N11" s="6">
        <f>M11*L11</f>
        <v>56.25</v>
      </c>
      <c r="O11" s="7"/>
      <c r="P11" s="25"/>
      <c r="Q11" s="6">
        <f>Q10</f>
        <v>1</v>
      </c>
      <c r="R11" s="6">
        <f>Q11*P11</f>
        <v>0</v>
      </c>
      <c r="S11" s="7"/>
    </row>
    <row r="12" spans="2:19" ht="12.75">
      <c r="B12" s="23" t="s">
        <v>23</v>
      </c>
      <c r="C12" s="24"/>
      <c r="D12" s="25"/>
      <c r="E12" s="26">
        <v>25</v>
      </c>
      <c r="F12" s="6">
        <f>E12*D12</f>
        <v>0</v>
      </c>
      <c r="G12" s="7"/>
      <c r="H12" s="25"/>
      <c r="I12" s="26">
        <v>19</v>
      </c>
      <c r="J12" s="6">
        <f>I12*H12</f>
        <v>0</v>
      </c>
      <c r="K12" s="7"/>
      <c r="L12" s="25"/>
      <c r="M12" s="26">
        <v>35</v>
      </c>
      <c r="N12" s="6">
        <f>M12*L12</f>
        <v>0</v>
      </c>
      <c r="O12" s="7"/>
      <c r="P12" s="25"/>
      <c r="Q12" s="26">
        <v>10</v>
      </c>
      <c r="R12" s="6">
        <f>Q12*P12</f>
        <v>0</v>
      </c>
      <c r="S12" s="7"/>
    </row>
    <row r="13" spans="2:19" ht="12.75">
      <c r="B13" s="27" t="s">
        <v>24</v>
      </c>
      <c r="C13" s="28"/>
      <c r="D13" s="55">
        <v>400</v>
      </c>
      <c r="E13" s="29">
        <f>-E12+2</f>
        <v>-23</v>
      </c>
      <c r="F13" s="6">
        <f>E13*D13*0.9</f>
        <v>-8280</v>
      </c>
      <c r="G13" s="7"/>
      <c r="H13" s="55">
        <v>300</v>
      </c>
      <c r="I13" s="29">
        <f>-I12+2</f>
        <v>-17</v>
      </c>
      <c r="J13" s="6">
        <f>I13*H13*0.9</f>
        <v>-4590</v>
      </c>
      <c r="K13" s="7"/>
      <c r="L13" s="55">
        <v>500</v>
      </c>
      <c r="M13" s="29">
        <f>-M12+2</f>
        <v>-33</v>
      </c>
      <c r="N13" s="6">
        <f>M13*L13*0.9</f>
        <v>-14850</v>
      </c>
      <c r="O13" s="7"/>
      <c r="P13" s="76">
        <v>590</v>
      </c>
      <c r="Q13" s="29">
        <f>-Q12+2</f>
        <v>-8</v>
      </c>
      <c r="R13" s="6">
        <f>Q13*P13*0.9</f>
        <v>-4248</v>
      </c>
      <c r="S13" s="7"/>
    </row>
    <row r="14" spans="2:19" ht="12.75">
      <c r="B14" s="23" t="s">
        <v>25</v>
      </c>
      <c r="C14" s="24"/>
      <c r="D14" s="25"/>
      <c r="E14" s="26">
        <v>75</v>
      </c>
      <c r="F14" s="6">
        <f>E14*D14</f>
        <v>0</v>
      </c>
      <c r="G14" s="7"/>
      <c r="H14" s="25"/>
      <c r="I14" s="26">
        <v>60</v>
      </c>
      <c r="J14" s="6">
        <f>I14*H14</f>
        <v>0</v>
      </c>
      <c r="K14" s="7"/>
      <c r="L14" s="25"/>
      <c r="M14" s="26">
        <v>80</v>
      </c>
      <c r="N14" s="6">
        <f>M14*L14</f>
        <v>0</v>
      </c>
      <c r="O14" s="7"/>
      <c r="P14" s="25"/>
      <c r="Q14" s="26">
        <v>63</v>
      </c>
      <c r="R14" s="6">
        <f>Q14*P14</f>
        <v>0</v>
      </c>
      <c r="S14" s="7"/>
    </row>
    <row r="15" spans="2:19" ht="12.75">
      <c r="B15" s="27" t="s">
        <v>26</v>
      </c>
      <c r="C15" s="28"/>
      <c r="D15" s="56">
        <v>35</v>
      </c>
      <c r="E15" s="6">
        <f>E14*0.4+D24/10</f>
        <v>32.3</v>
      </c>
      <c r="F15" s="6">
        <f>E15*D15</f>
        <v>1130.5</v>
      </c>
      <c r="G15" s="7"/>
      <c r="H15" s="56">
        <v>20</v>
      </c>
      <c r="I15" s="6">
        <f>I14*0.4+H24/10</f>
        <v>26.7</v>
      </c>
      <c r="J15" s="6">
        <f>I15*H15</f>
        <v>534</v>
      </c>
      <c r="K15" s="7"/>
      <c r="L15" s="56">
        <v>35</v>
      </c>
      <c r="M15" s="6">
        <f>M14*0.4+L24/10</f>
        <v>35</v>
      </c>
      <c r="N15" s="6">
        <f>M15*L15</f>
        <v>1225</v>
      </c>
      <c r="O15" s="7"/>
      <c r="P15" s="56">
        <v>25</v>
      </c>
      <c r="Q15" s="6">
        <f>Q14*0.4+P24/10</f>
        <v>27.700000000000003</v>
      </c>
      <c r="R15" s="6">
        <f>Q15*P15</f>
        <v>692.5000000000001</v>
      </c>
      <c r="S15" s="7"/>
    </row>
    <row r="16" spans="2:19" ht="6" customHeight="1">
      <c r="B16" s="8"/>
      <c r="C16" s="19"/>
      <c r="G16" s="7"/>
      <c r="K16" s="7"/>
      <c r="O16" s="7"/>
      <c r="S16" s="7"/>
    </row>
    <row r="17" spans="1:19" s="35" customFormat="1" ht="12.75">
      <c r="A17" s="15"/>
      <c r="B17" s="30" t="s">
        <v>52</v>
      </c>
      <c r="C17" s="31"/>
      <c r="D17" s="32">
        <f>SUM(D8:D15)-0.1*D13</f>
        <v>775</v>
      </c>
      <c r="E17" s="33">
        <f>F17/D17</f>
        <v>-9.556774193548387</v>
      </c>
      <c r="F17" s="12">
        <f>SUM(F8:F16)</f>
        <v>-7406.5</v>
      </c>
      <c r="G17" s="34"/>
      <c r="H17" s="32">
        <f>SUM(H8:H15)-0.1*H13</f>
        <v>430</v>
      </c>
      <c r="I17" s="33">
        <f>J17/H17</f>
        <v>-9.465116279069768</v>
      </c>
      <c r="J17" s="12">
        <f>SUM(J8:J16)</f>
        <v>-4070</v>
      </c>
      <c r="K17" s="34"/>
      <c r="L17" s="32">
        <f>SUM(L8:L15)-0.1*L13</f>
        <v>865</v>
      </c>
      <c r="M17" s="33">
        <f>N17/L17</f>
        <v>-15.790751445086705</v>
      </c>
      <c r="N17" s="12">
        <f>SUM(N8:N16)</f>
        <v>-13659</v>
      </c>
      <c r="O17" s="34"/>
      <c r="P17" s="32">
        <f>SUM(P8:P15)-0.1*P13</f>
        <v>756</v>
      </c>
      <c r="Q17" s="33">
        <f>R17/P17</f>
        <v>-5.298280423280423</v>
      </c>
      <c r="R17" s="12">
        <f>SUM(R8:R16)</f>
        <v>-4005.5</v>
      </c>
      <c r="S17" s="34"/>
    </row>
    <row r="18" spans="2:19" ht="6" customHeight="1">
      <c r="B18" s="8"/>
      <c r="C18" s="19"/>
      <c r="G18" s="7"/>
      <c r="K18" s="7"/>
      <c r="O18" s="7"/>
      <c r="S18" s="7"/>
    </row>
    <row r="19" spans="2:19" ht="12.75">
      <c r="B19" s="4" t="s">
        <v>48</v>
      </c>
      <c r="C19" s="5"/>
      <c r="D19" s="12">
        <f>D17+0.1*D13</f>
        <v>815</v>
      </c>
      <c r="E19" s="6" t="s">
        <v>50</v>
      </c>
      <c r="G19" s="7"/>
      <c r="H19" s="12">
        <f>H17+0.1*H13</f>
        <v>460</v>
      </c>
      <c r="I19" s="6" t="s">
        <v>50</v>
      </c>
      <c r="K19" s="7"/>
      <c r="L19" s="12">
        <f>L17+0.1*L13</f>
        <v>915</v>
      </c>
      <c r="M19" s="6" t="s">
        <v>50</v>
      </c>
      <c r="O19" s="7"/>
      <c r="P19" s="12">
        <f>P17+0.1*P13</f>
        <v>815</v>
      </c>
      <c r="Q19" s="6" t="s">
        <v>50</v>
      </c>
      <c r="S19" s="7"/>
    </row>
    <row r="20" spans="3:19" ht="12.75">
      <c r="C20" s="5"/>
      <c r="D20" s="12"/>
      <c r="G20" s="7"/>
      <c r="H20" s="12"/>
      <c r="K20" s="7"/>
      <c r="L20" s="12"/>
      <c r="O20" s="7"/>
      <c r="P20" s="12"/>
      <c r="S20" s="7"/>
    </row>
    <row r="21" spans="3:19" ht="12.75">
      <c r="C21" s="5"/>
      <c r="D21" s="12"/>
      <c r="G21" s="7"/>
      <c r="H21" s="12"/>
      <c r="K21" s="7"/>
      <c r="L21" s="12"/>
      <c r="O21" s="7"/>
      <c r="P21" s="12"/>
      <c r="S21" s="7"/>
    </row>
    <row r="22" spans="1:19" ht="12.75">
      <c r="A22" s="9" t="s">
        <v>57</v>
      </c>
      <c r="C22" s="5"/>
      <c r="D22" s="12"/>
      <c r="G22" s="7"/>
      <c r="H22" s="12"/>
      <c r="K22" s="7"/>
      <c r="L22" s="12"/>
      <c r="O22" s="7"/>
      <c r="P22" s="12"/>
      <c r="S22" s="7"/>
    </row>
    <row r="23" spans="1:19" ht="12.75">
      <c r="A23" s="9"/>
      <c r="C23" s="5"/>
      <c r="D23" s="12"/>
      <c r="G23" s="7"/>
      <c r="H23" s="12"/>
      <c r="K23" s="7"/>
      <c r="L23" s="12"/>
      <c r="O23" s="7"/>
      <c r="P23" s="12"/>
      <c r="S23" s="7"/>
    </row>
    <row r="24" spans="1:19" ht="12.75" customHeight="1">
      <c r="A24" s="8"/>
      <c r="B24" s="10" t="s">
        <v>1</v>
      </c>
      <c r="C24" s="11"/>
      <c r="D24" s="44">
        <v>23</v>
      </c>
      <c r="E24" s="6" t="s">
        <v>2</v>
      </c>
      <c r="F24" s="13"/>
      <c r="G24" s="14"/>
      <c r="H24" s="25">
        <v>27</v>
      </c>
      <c r="I24" s="6" t="s">
        <v>2</v>
      </c>
      <c r="J24" s="13"/>
      <c r="K24" s="14"/>
      <c r="L24" s="44">
        <v>30</v>
      </c>
      <c r="M24" s="6" t="s">
        <v>2</v>
      </c>
      <c r="N24" s="13"/>
      <c r="O24" s="14"/>
      <c r="P24" s="44">
        <v>25</v>
      </c>
      <c r="Q24" s="6" t="s">
        <v>2</v>
      </c>
      <c r="R24" s="13"/>
      <c r="S24" s="14"/>
    </row>
    <row r="25" spans="1:20" ht="12.75">
      <c r="A25" s="15"/>
      <c r="B25" s="10" t="s">
        <v>3</v>
      </c>
      <c r="C25" s="11"/>
      <c r="D25" s="62">
        <v>114</v>
      </c>
      <c r="E25" s="6" t="s">
        <v>2</v>
      </c>
      <c r="G25" s="7"/>
      <c r="H25" s="63">
        <v>125</v>
      </c>
      <c r="I25" s="6" t="s">
        <v>2</v>
      </c>
      <c r="K25" s="7"/>
      <c r="L25" s="44">
        <v>170</v>
      </c>
      <c r="M25" s="6" t="s">
        <v>2</v>
      </c>
      <c r="O25" s="7"/>
      <c r="P25" s="44"/>
      <c r="Q25" s="6" t="s">
        <v>2</v>
      </c>
      <c r="S25" s="7"/>
      <c r="T25" s="75"/>
    </row>
    <row r="26" spans="2:20" ht="12.75">
      <c r="B26" s="10" t="s">
        <v>4</v>
      </c>
      <c r="C26" s="11"/>
      <c r="D26" s="44">
        <v>106</v>
      </c>
      <c r="E26" s="6" t="s">
        <v>2</v>
      </c>
      <c r="G26" s="7"/>
      <c r="H26" s="64">
        <v>102</v>
      </c>
      <c r="I26" s="6" t="s">
        <v>2</v>
      </c>
      <c r="K26" s="7"/>
      <c r="L26" s="44">
        <v>140</v>
      </c>
      <c r="M26" s="6" t="s">
        <v>2</v>
      </c>
      <c r="O26" s="7"/>
      <c r="P26" s="44">
        <v>117</v>
      </c>
      <c r="Q26" s="6" t="s">
        <v>2</v>
      </c>
      <c r="S26" s="7"/>
      <c r="T26" s="75"/>
    </row>
    <row r="27" spans="2:20" ht="12.75">
      <c r="B27" s="10" t="s">
        <v>5</v>
      </c>
      <c r="C27" s="11"/>
      <c r="D27" s="44">
        <v>36</v>
      </c>
      <c r="E27" s="6" t="s">
        <v>2</v>
      </c>
      <c r="G27" s="7"/>
      <c r="H27" s="64">
        <v>29</v>
      </c>
      <c r="I27" s="6" t="s">
        <v>2</v>
      </c>
      <c r="J27" s="53"/>
      <c r="K27" s="7"/>
      <c r="L27" s="44">
        <v>31</v>
      </c>
      <c r="M27" s="6" t="s">
        <v>2</v>
      </c>
      <c r="O27" s="7"/>
      <c r="P27" s="44">
        <v>70</v>
      </c>
      <c r="Q27" s="6" t="s">
        <v>2</v>
      </c>
      <c r="S27" s="7"/>
      <c r="T27" s="75"/>
    </row>
    <row r="28" spans="2:20" ht="12.75">
      <c r="B28" s="10" t="s">
        <v>6</v>
      </c>
      <c r="C28" s="11"/>
      <c r="D28" s="44">
        <v>30</v>
      </c>
      <c r="E28" s="6" t="s">
        <v>2</v>
      </c>
      <c r="G28" s="7"/>
      <c r="H28" s="64">
        <v>22</v>
      </c>
      <c r="I28" s="6" t="s">
        <v>2</v>
      </c>
      <c r="K28" s="7"/>
      <c r="L28" s="17">
        <v>25.3</v>
      </c>
      <c r="M28" s="6" t="s">
        <v>2</v>
      </c>
      <c r="O28" s="7"/>
      <c r="P28" s="44">
        <v>29</v>
      </c>
      <c r="Q28" s="6" t="s">
        <v>2</v>
      </c>
      <c r="S28" s="7"/>
      <c r="T28" s="75"/>
    </row>
    <row r="29" spans="3:20" ht="6" customHeight="1">
      <c r="C29" s="5"/>
      <c r="G29" s="7"/>
      <c r="H29" s="54"/>
      <c r="K29" s="7"/>
      <c r="O29" s="7"/>
      <c r="S29" s="7"/>
      <c r="T29"/>
    </row>
    <row r="30" spans="2:19" ht="12.75">
      <c r="B30" s="4" t="s">
        <v>7</v>
      </c>
      <c r="C30" s="5"/>
      <c r="D30" s="6">
        <f>D26*(4*D28+D27)/600</f>
        <v>27.56</v>
      </c>
      <c r="E30" s="6" t="s">
        <v>8</v>
      </c>
      <c r="G30" s="7"/>
      <c r="H30" s="6">
        <f>H26*(4*H28+H27)/600</f>
        <v>19.89</v>
      </c>
      <c r="I30" s="6" t="s">
        <v>8</v>
      </c>
      <c r="K30" s="7"/>
      <c r="L30" s="6">
        <f>L26*(4*L28+L27)/600</f>
        <v>30.846666666666668</v>
      </c>
      <c r="M30" s="6" t="s">
        <v>8</v>
      </c>
      <c r="O30" s="7"/>
      <c r="P30" s="6">
        <f>P26*(4*P28+P27)/600</f>
        <v>36.27</v>
      </c>
      <c r="Q30" s="6" t="s">
        <v>8</v>
      </c>
      <c r="S30" s="7"/>
    </row>
    <row r="31" spans="3:19" ht="6" customHeight="1">
      <c r="C31" s="5"/>
      <c r="G31" s="7"/>
      <c r="K31" s="7"/>
      <c r="O31" s="7"/>
      <c r="S31" s="7"/>
    </row>
    <row r="32" spans="2:19" ht="12.75">
      <c r="B32" s="4" t="s">
        <v>9</v>
      </c>
      <c r="C32" s="5"/>
      <c r="D32" s="25">
        <v>50</v>
      </c>
      <c r="E32" s="6" t="s">
        <v>10</v>
      </c>
      <c r="F32" s="13"/>
      <c r="G32" s="14"/>
      <c r="H32" s="25">
        <v>39</v>
      </c>
      <c r="I32" s="6" t="s">
        <v>10</v>
      </c>
      <c r="J32" s="13"/>
      <c r="K32" s="14"/>
      <c r="L32" s="25">
        <v>50</v>
      </c>
      <c r="M32" s="6" t="s">
        <v>10</v>
      </c>
      <c r="N32" s="13"/>
      <c r="O32" s="14"/>
      <c r="P32" s="25">
        <v>40</v>
      </c>
      <c r="Q32" s="6" t="s">
        <v>10</v>
      </c>
      <c r="R32" s="13"/>
      <c r="S32" s="14"/>
    </row>
    <row r="33" spans="3:19" ht="6" customHeight="1">
      <c r="C33" s="5"/>
      <c r="D33" s="25"/>
      <c r="G33" s="7"/>
      <c r="H33" s="25"/>
      <c r="K33" s="7"/>
      <c r="L33" s="25"/>
      <c r="O33" s="7"/>
      <c r="P33" s="25"/>
      <c r="S33" s="7"/>
    </row>
    <row r="34" spans="2:19" ht="12.75">
      <c r="B34" s="4" t="s">
        <v>11</v>
      </c>
      <c r="C34" s="5"/>
      <c r="D34" s="25">
        <v>0.56</v>
      </c>
      <c r="G34" s="7"/>
      <c r="H34" s="25">
        <v>0.55</v>
      </c>
      <c r="K34" s="7"/>
      <c r="L34" s="25">
        <v>0.56</v>
      </c>
      <c r="O34" s="7"/>
      <c r="P34" s="25">
        <v>0.52</v>
      </c>
      <c r="S34" s="7"/>
    </row>
    <row r="35" spans="3:19" ht="6" customHeight="1">
      <c r="C35" s="5"/>
      <c r="G35" s="7"/>
      <c r="K35" s="7"/>
      <c r="O35" s="7"/>
      <c r="S35" s="7"/>
    </row>
    <row r="36" spans="1:19" s="61" customFormat="1" ht="12.75">
      <c r="A36" s="57"/>
      <c r="B36" s="58" t="s">
        <v>12</v>
      </c>
      <c r="C36" s="59"/>
      <c r="D36" s="32">
        <f>D34*D32*D30</f>
        <v>771.6800000000001</v>
      </c>
      <c r="E36" s="32" t="s">
        <v>13</v>
      </c>
      <c r="F36" s="32"/>
      <c r="G36" s="60"/>
      <c r="H36" s="32">
        <f>H34*H32*H30</f>
        <v>426.6405000000001</v>
      </c>
      <c r="I36" s="32" t="s">
        <v>13</v>
      </c>
      <c r="J36" s="32"/>
      <c r="K36" s="60"/>
      <c r="L36" s="32">
        <f>L34*L32*L30</f>
        <v>863.7066666666668</v>
      </c>
      <c r="M36" s="32" t="s">
        <v>13</v>
      </c>
      <c r="N36" s="32"/>
      <c r="O36" s="60"/>
      <c r="P36" s="32">
        <f>P34*P32*P30</f>
        <v>754.416</v>
      </c>
      <c r="Q36" s="32" t="s">
        <v>13</v>
      </c>
      <c r="R36" s="32"/>
      <c r="S36" s="60"/>
    </row>
    <row r="37" spans="3:19" ht="12.75">
      <c r="C37" s="5"/>
      <c r="G37" s="7"/>
      <c r="K37" s="7"/>
      <c r="O37" s="7"/>
      <c r="S37" s="7"/>
    </row>
    <row r="38" spans="3:19" ht="12.75">
      <c r="C38" s="5"/>
      <c r="G38" s="7"/>
      <c r="K38" s="7"/>
      <c r="O38" s="7"/>
      <c r="S38" s="7"/>
    </row>
    <row r="39" spans="1:19" ht="12.75">
      <c r="A39" s="15" t="s">
        <v>27</v>
      </c>
      <c r="C39" s="5"/>
      <c r="G39" s="7"/>
      <c r="K39" s="7"/>
      <c r="O39" s="7"/>
      <c r="S39" s="7"/>
    </row>
    <row r="40" spans="1:19" ht="12.75">
      <c r="A40" s="15"/>
      <c r="C40" s="5"/>
      <c r="D40" s="20" t="s">
        <v>17</v>
      </c>
      <c r="G40" s="7"/>
      <c r="H40" s="20" t="s">
        <v>17</v>
      </c>
      <c r="K40" s="7"/>
      <c r="L40" s="20" t="s">
        <v>17</v>
      </c>
      <c r="O40" s="7"/>
      <c r="P40" s="20" t="s">
        <v>17</v>
      </c>
      <c r="S40" s="7"/>
    </row>
    <row r="41" spans="2:19" ht="12.75">
      <c r="B41" s="4" t="s">
        <v>28</v>
      </c>
      <c r="C41" s="5"/>
      <c r="D41" s="36">
        <f>-D27/30</f>
        <v>-1.2</v>
      </c>
      <c r="E41" s="37" t="s">
        <v>29</v>
      </c>
      <c r="G41" s="7"/>
      <c r="H41" s="36">
        <f>-H27/30</f>
        <v>-0.9666666666666667</v>
      </c>
      <c r="I41" s="37" t="s">
        <v>29</v>
      </c>
      <c r="K41" s="7"/>
      <c r="L41" s="36">
        <f>-L27/30</f>
        <v>-1.0333333333333334</v>
      </c>
      <c r="M41" s="37" t="s">
        <v>29</v>
      </c>
      <c r="O41" s="7"/>
      <c r="P41" s="36">
        <f>-P27/30</f>
        <v>-2.3333333333333335</v>
      </c>
      <c r="Q41" s="37" t="s">
        <v>29</v>
      </c>
      <c r="S41" s="7"/>
    </row>
    <row r="42" spans="2:19" ht="12.75">
      <c r="B42" s="30" t="s">
        <v>30</v>
      </c>
      <c r="C42" s="38"/>
      <c r="D42" s="36">
        <f>0.044*D26*D26*D26*D32/D36/1000</f>
        <v>3.3954945054945047</v>
      </c>
      <c r="E42" s="37" t="s">
        <v>31</v>
      </c>
      <c r="G42" s="7"/>
      <c r="H42" s="36">
        <f>0.044*H26*H26*H26*H32/H36/1000</f>
        <v>4.268307692307691</v>
      </c>
      <c r="I42" s="37" t="s">
        <v>31</v>
      </c>
      <c r="K42" s="7"/>
      <c r="L42" s="36">
        <f>0.044*L26*L26*L26*L32/L36/1000</f>
        <v>6.989409984871405</v>
      </c>
      <c r="M42" s="37" t="s">
        <v>31</v>
      </c>
      <c r="O42" s="7"/>
      <c r="P42" s="36">
        <f>0.044*P26*P26*P26*P32/P36/1000</f>
        <v>3.7364516129032253</v>
      </c>
      <c r="Q42" s="37" t="s">
        <v>31</v>
      </c>
      <c r="S42" s="7"/>
    </row>
    <row r="43" spans="2:19" ht="12.75">
      <c r="B43" s="4" t="s">
        <v>32</v>
      </c>
      <c r="C43" s="5"/>
      <c r="D43" s="36">
        <f>-E17</f>
        <v>9.556774193548387</v>
      </c>
      <c r="E43" s="37" t="s">
        <v>33</v>
      </c>
      <c r="G43" s="7"/>
      <c r="H43" s="36">
        <f>-I17</f>
        <v>9.465116279069768</v>
      </c>
      <c r="I43" s="37" t="s">
        <v>33</v>
      </c>
      <c r="K43" s="7"/>
      <c r="L43" s="36">
        <f>-M17</f>
        <v>15.790751445086705</v>
      </c>
      <c r="M43" s="37" t="s">
        <v>33</v>
      </c>
      <c r="O43" s="7"/>
      <c r="P43" s="36">
        <f>-Q17</f>
        <v>5.298280423280423</v>
      </c>
      <c r="Q43" s="37" t="s">
        <v>33</v>
      </c>
      <c r="S43" s="7"/>
    </row>
    <row r="44" spans="2:19" ht="12.75">
      <c r="B44" s="4" t="s">
        <v>34</v>
      </c>
      <c r="C44" s="5"/>
      <c r="D44" s="36">
        <f>SUM(D41:D43)</f>
        <v>11.752268699042892</v>
      </c>
      <c r="E44" s="37" t="s">
        <v>35</v>
      </c>
      <c r="G44" s="7"/>
      <c r="H44" s="36">
        <f>SUM(H41:H43)</f>
        <v>12.766757304710794</v>
      </c>
      <c r="I44" s="37" t="s">
        <v>35</v>
      </c>
      <c r="K44" s="7"/>
      <c r="L44" s="36">
        <f>SUM(L41:L43)</f>
        <v>21.74682809662478</v>
      </c>
      <c r="M44" s="37" t="s">
        <v>35</v>
      </c>
      <c r="O44" s="7"/>
      <c r="P44" s="36">
        <f>SUM(P41:P43)</f>
        <v>6.701398702850315</v>
      </c>
      <c r="Q44" s="37" t="s">
        <v>35</v>
      </c>
      <c r="S44" s="7"/>
    </row>
    <row r="45" spans="3:19" ht="6" customHeight="1">
      <c r="C45" s="5"/>
      <c r="G45" s="7"/>
      <c r="K45" s="7"/>
      <c r="O45" s="7"/>
      <c r="S45" s="7"/>
    </row>
    <row r="46" spans="2:19" ht="12.75">
      <c r="B46" s="4" t="s">
        <v>36</v>
      </c>
      <c r="C46" s="5"/>
      <c r="D46" s="29">
        <f>D44*D36</f>
        <v>9068.99070967742</v>
      </c>
      <c r="E46" s="39" t="s">
        <v>37</v>
      </c>
      <c r="G46" s="7"/>
      <c r="H46" s="29">
        <f>H44*H36</f>
        <v>5446.815719860467</v>
      </c>
      <c r="I46" s="39" t="s">
        <v>37</v>
      </c>
      <c r="K46" s="7"/>
      <c r="L46" s="29">
        <f>L44*L36</f>
        <v>18782.880405908803</v>
      </c>
      <c r="M46" s="39" t="s">
        <v>37</v>
      </c>
      <c r="O46" s="7"/>
      <c r="P46" s="29">
        <f>P44*P36</f>
        <v>5055.642403809524</v>
      </c>
      <c r="Q46" s="39" t="s">
        <v>37</v>
      </c>
      <c r="S46" s="7"/>
    </row>
    <row r="47" spans="3:19" ht="12.75">
      <c r="C47" s="5"/>
      <c r="G47" s="7"/>
      <c r="K47" s="7"/>
      <c r="O47" s="7"/>
      <c r="S47" s="7"/>
    </row>
    <row r="48" spans="3:19" ht="12.75">
      <c r="C48" s="5"/>
      <c r="G48" s="7"/>
      <c r="K48" s="7"/>
      <c r="O48" s="7"/>
      <c r="S48" s="7"/>
    </row>
    <row r="49" spans="3:19" ht="12.75">
      <c r="C49" s="5"/>
      <c r="G49" s="7"/>
      <c r="K49" s="7"/>
      <c r="O49" s="7"/>
      <c r="S49" s="7"/>
    </row>
    <row r="50" spans="1:19" ht="12.75">
      <c r="A50" s="15" t="s">
        <v>38</v>
      </c>
      <c r="C50" s="5"/>
      <c r="D50" s="40"/>
      <c r="E50" s="41"/>
      <c r="F50" s="42"/>
      <c r="G50" s="7"/>
      <c r="H50" s="40"/>
      <c r="I50" s="41"/>
      <c r="J50" s="42"/>
      <c r="K50" s="7"/>
      <c r="L50" s="40"/>
      <c r="M50" s="41"/>
      <c r="N50" s="42"/>
      <c r="O50" s="7"/>
      <c r="P50" s="40"/>
      <c r="Q50" s="41"/>
      <c r="R50" s="42"/>
      <c r="S50" s="7"/>
    </row>
    <row r="51" spans="3:19" ht="12.75">
      <c r="C51" s="5"/>
      <c r="G51" s="7"/>
      <c r="K51" s="7"/>
      <c r="O51" s="7"/>
      <c r="S51" s="7"/>
    </row>
    <row r="52" spans="2:19" ht="12.75">
      <c r="B52" s="4" t="s">
        <v>39</v>
      </c>
      <c r="C52" s="5"/>
      <c r="D52" s="73">
        <v>12</v>
      </c>
      <c r="E52" s="6" t="s">
        <v>40</v>
      </c>
      <c r="F52" s="43">
        <f>D52/D56</f>
        <v>0.75</v>
      </c>
      <c r="G52" s="7"/>
      <c r="H52" s="74">
        <v>7.5</v>
      </c>
      <c r="I52" s="6" t="s">
        <v>40</v>
      </c>
      <c r="J52" s="43">
        <f>H52/H56</f>
        <v>0.75</v>
      </c>
      <c r="K52" s="7"/>
      <c r="L52" s="74">
        <v>15.9</v>
      </c>
      <c r="M52" s="6" t="s">
        <v>40</v>
      </c>
      <c r="N52" s="43">
        <f>L52/L56</f>
        <v>0.7395348837209302</v>
      </c>
      <c r="O52" s="7"/>
      <c r="P52" s="74">
        <v>10</v>
      </c>
      <c r="Q52" s="6" t="s">
        <v>40</v>
      </c>
      <c r="R52" s="43">
        <f>P52/P56</f>
        <v>0.7692307692307693</v>
      </c>
      <c r="S52" s="7"/>
    </row>
    <row r="53" spans="1:19" s="70" customFormat="1" ht="12.75">
      <c r="A53" s="3"/>
      <c r="B53" s="65" t="s">
        <v>41</v>
      </c>
      <c r="C53" s="66"/>
      <c r="D53" s="25"/>
      <c r="E53" s="68">
        <f>200*D52/E14</f>
        <v>32</v>
      </c>
      <c r="F53" s="67" t="s">
        <v>10</v>
      </c>
      <c r="G53" s="69"/>
      <c r="H53" s="44"/>
      <c r="I53" s="68">
        <f>200*H52/I14</f>
        <v>25</v>
      </c>
      <c r="J53" s="67" t="s">
        <v>10</v>
      </c>
      <c r="K53" s="69"/>
      <c r="L53" s="44"/>
      <c r="M53" s="68">
        <f>200*L52/M14</f>
        <v>39.75</v>
      </c>
      <c r="N53" s="67" t="s">
        <v>10</v>
      </c>
      <c r="O53" s="69"/>
      <c r="P53" s="44"/>
      <c r="Q53" s="68">
        <f>200*P52/Q14</f>
        <v>31.746031746031747</v>
      </c>
      <c r="R53" s="67" t="s">
        <v>10</v>
      </c>
      <c r="S53" s="69"/>
    </row>
    <row r="54" spans="2:19" ht="12.75">
      <c r="B54" s="4" t="s">
        <v>42</v>
      </c>
      <c r="C54" s="5"/>
      <c r="D54" s="73">
        <v>4</v>
      </c>
      <c r="E54" s="6" t="s">
        <v>40</v>
      </c>
      <c r="F54" s="43">
        <f>D54/D56</f>
        <v>0.25</v>
      </c>
      <c r="G54" s="7"/>
      <c r="H54" s="74">
        <v>2.5</v>
      </c>
      <c r="I54" s="6" t="s">
        <v>40</v>
      </c>
      <c r="J54" s="43">
        <f>H54/H56</f>
        <v>0.25</v>
      </c>
      <c r="K54" s="7"/>
      <c r="L54" s="74">
        <v>5.6</v>
      </c>
      <c r="M54" s="6" t="s">
        <v>40</v>
      </c>
      <c r="N54" s="43">
        <f>L54/L56</f>
        <v>0.26046511627906976</v>
      </c>
      <c r="O54" s="7"/>
      <c r="P54" s="74">
        <v>3</v>
      </c>
      <c r="Q54" s="6" t="s">
        <v>40</v>
      </c>
      <c r="R54" s="43">
        <f>P54/P56</f>
        <v>0.23076923076923078</v>
      </c>
      <c r="S54" s="7"/>
    </row>
    <row r="55" spans="1:19" s="70" customFormat="1" ht="12.75">
      <c r="A55" s="3"/>
      <c r="B55" s="65" t="s">
        <v>43</v>
      </c>
      <c r="C55" s="66"/>
      <c r="D55" s="67"/>
      <c r="E55" s="68">
        <f>200*D56/E14</f>
        <v>42.666666666666664</v>
      </c>
      <c r="F55" s="71" t="s">
        <v>10</v>
      </c>
      <c r="G55" s="72"/>
      <c r="H55" s="67"/>
      <c r="I55" s="68">
        <f>200*H56/I14</f>
        <v>33.333333333333336</v>
      </c>
      <c r="J55" s="71" t="s">
        <v>10</v>
      </c>
      <c r="K55" s="72"/>
      <c r="L55" s="67"/>
      <c r="M55" s="68">
        <f>200*L56/M14</f>
        <v>53.75</v>
      </c>
      <c r="N55" s="71" t="s">
        <v>10</v>
      </c>
      <c r="O55" s="72"/>
      <c r="P55" s="67"/>
      <c r="Q55" s="68">
        <f>200*P56/Q14</f>
        <v>41.26984126984127</v>
      </c>
      <c r="R55" s="71" t="s">
        <v>10</v>
      </c>
      <c r="S55" s="72"/>
    </row>
    <row r="56" spans="2:19" ht="12.75">
      <c r="B56" s="4" t="s">
        <v>44</v>
      </c>
      <c r="C56" s="5"/>
      <c r="D56" s="36">
        <f>SUM(D52:D54)</f>
        <v>16</v>
      </c>
      <c r="E56" s="6" t="s">
        <v>40</v>
      </c>
      <c r="G56" s="7"/>
      <c r="H56" s="36">
        <f>SUM(H52:H54)</f>
        <v>10</v>
      </c>
      <c r="I56" s="6" t="s">
        <v>40</v>
      </c>
      <c r="K56" s="7"/>
      <c r="L56" s="36">
        <f>SUM(L52:L54)</f>
        <v>21.5</v>
      </c>
      <c r="M56" s="6" t="s">
        <v>40</v>
      </c>
      <c r="O56" s="7"/>
      <c r="P56" s="36">
        <f>SUM(P52:P54)</f>
        <v>13</v>
      </c>
      <c r="Q56" s="6" t="s">
        <v>40</v>
      </c>
      <c r="S56" s="7"/>
    </row>
    <row r="57" spans="3:19" ht="6" customHeight="1">
      <c r="C57" s="5"/>
      <c r="G57" s="7"/>
      <c r="K57" s="7"/>
      <c r="O57" s="7"/>
      <c r="S57" s="7"/>
    </row>
    <row r="58" spans="2:19" ht="12.75">
      <c r="B58" s="4" t="s">
        <v>45</v>
      </c>
      <c r="C58" s="5"/>
      <c r="D58" s="45">
        <f>(D46*0.5/D56/(E$12/2+D24/10+E$14*0.4))^0.5</f>
        <v>2.5151592167607766</v>
      </c>
      <c r="E58" s="6" t="s">
        <v>46</v>
      </c>
      <c r="G58" s="7"/>
      <c r="H58" s="45">
        <f>(H46*0.5/H56/(I$12/2+H24/10+I$14*0.4))^0.5</f>
        <v>2.7428500018054143</v>
      </c>
      <c r="I58" s="6" t="s">
        <v>46</v>
      </c>
      <c r="K58" s="7"/>
      <c r="L58" s="45">
        <f>(L46*0.5/L56/(M$12/2+L24/10+M$14*0.4))^0.5</f>
        <v>2.884477908459221</v>
      </c>
      <c r="M58" s="6" t="s">
        <v>46</v>
      </c>
      <c r="O58" s="7"/>
      <c r="P58" s="45">
        <f>(P46*0.5/P56/(Q$12/2+P24/10+Q$14*0.4))^0.5</f>
        <v>2.4385273088780193</v>
      </c>
      <c r="Q58" s="6" t="s">
        <v>46</v>
      </c>
      <c r="S58" s="7"/>
    </row>
    <row r="59" spans="3:19" ht="12.75">
      <c r="C59" s="5"/>
      <c r="G59" s="7"/>
      <c r="K59" s="7"/>
      <c r="O59" s="7"/>
      <c r="S59" s="7"/>
    </row>
    <row r="62" spans="2:16" ht="12.75">
      <c r="B62" s="8" t="s">
        <v>54</v>
      </c>
      <c r="D62" s="47"/>
      <c r="H62" s="47"/>
      <c r="L62" s="47"/>
      <c r="P62" s="47"/>
    </row>
    <row r="63" spans="2:16" ht="12.75">
      <c r="B63" s="77" t="s">
        <v>53</v>
      </c>
      <c r="D63" s="39"/>
      <c r="H63" s="39"/>
      <c r="L63" s="39"/>
      <c r="P63" s="39"/>
    </row>
    <row r="64" spans="2:16" ht="12.75">
      <c r="B64" s="77" t="s">
        <v>55</v>
      </c>
      <c r="D64" s="39"/>
      <c r="H64" s="39"/>
      <c r="L64" s="39"/>
      <c r="P64" s="39"/>
    </row>
    <row r="65" spans="2:17" ht="12.75">
      <c r="B65" s="77" t="s">
        <v>58</v>
      </c>
      <c r="E65" s="48"/>
      <c r="I65" s="48"/>
      <c r="M65" s="48"/>
      <c r="Q65" s="48"/>
    </row>
    <row r="66" ht="12.75">
      <c r="B66" s="77" t="s">
        <v>59</v>
      </c>
    </row>
    <row r="68" spans="2:16" ht="12.75">
      <c r="B68" s="78" t="s">
        <v>60</v>
      </c>
      <c r="C68" s="49"/>
      <c r="D68" s="45"/>
      <c r="H68" s="45"/>
      <c r="L68" s="45"/>
      <c r="P68" s="45"/>
    </row>
    <row r="74" ht="12.75">
      <c r="A74" s="15"/>
    </row>
    <row r="76" spans="2:17" ht="12.75">
      <c r="B76" s="10"/>
      <c r="C76" s="10"/>
      <c r="E76" s="16"/>
      <c r="I76" s="16"/>
      <c r="M76" s="16"/>
      <c r="Q76" s="16"/>
    </row>
    <row r="77" spans="2:17" ht="12.75">
      <c r="B77" s="10"/>
      <c r="C77" s="10"/>
      <c r="E77" s="50"/>
      <c r="I77" s="50"/>
      <c r="M77" s="50"/>
      <c r="Q77" s="50"/>
    </row>
    <row r="78" spans="2:17" ht="12.75">
      <c r="B78" s="51"/>
      <c r="C78" s="51"/>
      <c r="D78" s="13"/>
      <c r="E78" s="50"/>
      <c r="H78" s="13"/>
      <c r="I78" s="50"/>
      <c r="L78" s="13"/>
      <c r="M78" s="50"/>
      <c r="P78" s="13"/>
      <c r="Q78" s="50"/>
    </row>
    <row r="79" spans="2:17" ht="12.75">
      <c r="B79" s="10"/>
      <c r="C79" s="10"/>
      <c r="E79" s="16"/>
      <c r="I79" s="16"/>
      <c r="M79" s="16"/>
      <c r="Q79" s="16"/>
    </row>
    <row r="81" spans="2:19" ht="12.75">
      <c r="B81" s="10"/>
      <c r="C81" s="10"/>
      <c r="E81" s="50"/>
      <c r="F81" s="52"/>
      <c r="G81" s="52"/>
      <c r="I81" s="50"/>
      <c r="J81" s="52"/>
      <c r="K81" s="52"/>
      <c r="M81" s="50"/>
      <c r="N81" s="52"/>
      <c r="O81" s="52"/>
      <c r="Q81" s="50"/>
      <c r="R81" s="52"/>
      <c r="S81" s="52"/>
    </row>
    <row r="82" spans="2:19" ht="12.75">
      <c r="B82" s="30"/>
      <c r="C82" s="30"/>
      <c r="E82" s="16"/>
      <c r="F82" s="52"/>
      <c r="G82" s="52"/>
      <c r="I82" s="16"/>
      <c r="J82" s="52"/>
      <c r="K82" s="52"/>
      <c r="M82" s="16"/>
      <c r="N82" s="52"/>
      <c r="O82" s="52"/>
      <c r="Q82" s="16"/>
      <c r="R82" s="52"/>
      <c r="S82" s="52"/>
    </row>
    <row r="83" spans="2:19" ht="12.75">
      <c r="B83" s="10"/>
      <c r="C83" s="10"/>
      <c r="E83" s="16"/>
      <c r="F83" s="52"/>
      <c r="G83" s="52"/>
      <c r="I83" s="16"/>
      <c r="J83" s="52"/>
      <c r="K83" s="52"/>
      <c r="M83" s="16"/>
      <c r="N83" s="52"/>
      <c r="O83" s="52"/>
      <c r="Q83" s="16"/>
      <c r="R83" s="52"/>
      <c r="S83" s="52"/>
    </row>
    <row r="84" spans="5:19" ht="12.75">
      <c r="E84" s="16"/>
      <c r="F84" s="52"/>
      <c r="G84" s="52"/>
      <c r="I84" s="16"/>
      <c r="J84" s="52"/>
      <c r="K84" s="52"/>
      <c r="M84" s="16"/>
      <c r="N84" s="52"/>
      <c r="O84" s="52"/>
      <c r="Q84" s="16"/>
      <c r="R84" s="52"/>
      <c r="S84" s="52"/>
    </row>
    <row r="87" spans="5:17" ht="12.75">
      <c r="E87" s="36"/>
      <c r="I87" s="36"/>
      <c r="M87" s="36"/>
      <c r="Q87" s="36"/>
    </row>
    <row r="91" spans="5:17" ht="12.75">
      <c r="E91" s="46"/>
      <c r="I91" s="46"/>
      <c r="M91" s="46"/>
      <c r="Q91" s="46"/>
    </row>
  </sheetData>
  <printOptions/>
  <pageMargins left="0.64" right="0.46" top="0.74" bottom="0.76" header="0.46" footer="0.5"/>
  <pageSetup fitToHeight="1" fitToWidth="1" horizontalDpi="600" verticalDpi="600" orientation="portrait" paperSize="9" scale="91" r:id="rId1"/>
  <headerFooter alignWithMargins="0">
    <oddFooter>&amp;L&amp;F - &amp;A&amp;RPascal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3">
      <selection activeCell="G28" sqref="G28"/>
    </sheetView>
  </sheetViews>
  <sheetFormatPr defaultColWidth="9.140625" defaultRowHeight="12.75"/>
  <cols>
    <col min="9" max="9" width="3.140625" style="0" customWidth="1"/>
    <col min="10" max="10" width="6.421875" style="0" customWidth="1"/>
    <col min="11" max="11" width="3.140625" style="0" customWidth="1"/>
  </cols>
  <sheetData>
    <row r="1" spans="1:11" ht="12.75">
      <c r="A1" s="79"/>
      <c r="B1" s="80"/>
      <c r="C1" s="80"/>
      <c r="D1" s="80"/>
      <c r="E1" s="80"/>
      <c r="F1" s="80"/>
      <c r="G1" s="80"/>
      <c r="H1" s="80"/>
      <c r="I1" s="93"/>
      <c r="J1" s="54"/>
      <c r="K1" s="93"/>
    </row>
    <row r="2" spans="1:11" ht="12.75">
      <c r="A2" s="79"/>
      <c r="B2" s="80"/>
      <c r="C2" s="80"/>
      <c r="D2" s="80"/>
      <c r="E2" s="80"/>
      <c r="H2" s="79" t="s">
        <v>61</v>
      </c>
      <c r="I2" s="82"/>
      <c r="J2" s="83"/>
      <c r="K2" s="83"/>
    </row>
    <row r="3" spans="1:11" ht="12.75">
      <c r="A3" s="79" t="s">
        <v>62</v>
      </c>
      <c r="B3" s="80">
        <f>-(J4*J6/J8/8+J6)</f>
        <v>-12.647727272727272</v>
      </c>
      <c r="C3" s="80">
        <f>J4</f>
        <v>3.4</v>
      </c>
      <c r="D3" s="80"/>
      <c r="E3" s="80"/>
      <c r="I3" s="83"/>
      <c r="K3" s="83"/>
    </row>
    <row r="4" spans="1:11" ht="12.75">
      <c r="A4" s="84"/>
      <c r="B4">
        <f>-J6+J4/4*(B3+J6/2)/(J4+J8)</f>
        <v>-11.715280032467533</v>
      </c>
      <c r="C4">
        <f>C3/4</f>
        <v>0.85</v>
      </c>
      <c r="D4" s="80"/>
      <c r="E4" s="80"/>
      <c r="G4" s="85" t="s">
        <v>63</v>
      </c>
      <c r="H4" s="4" t="s">
        <v>10</v>
      </c>
      <c r="I4" s="86"/>
      <c r="J4" s="63">
        <v>3.4</v>
      </c>
      <c r="K4" s="83"/>
    </row>
    <row r="5" spans="1:11" ht="12.75">
      <c r="A5" s="79" t="s">
        <v>64</v>
      </c>
      <c r="B5">
        <f>-J6-J4/4*(B3+J6/2)/(J4+J8)</f>
        <v>-9.484719967532467</v>
      </c>
      <c r="C5" s="80">
        <f>-C3/4</f>
        <v>-0.85</v>
      </c>
      <c r="D5" s="80"/>
      <c r="E5" s="80"/>
      <c r="G5" s="87" t="s">
        <v>4</v>
      </c>
      <c r="H5" s="84" t="s">
        <v>66</v>
      </c>
      <c r="I5" s="88"/>
      <c r="J5" s="75">
        <f>-B3</f>
        <v>12.647727272727272</v>
      </c>
      <c r="K5" s="83"/>
    </row>
    <row r="6" spans="1:11" ht="12.75">
      <c r="A6" s="79" t="s">
        <v>6</v>
      </c>
      <c r="B6" s="80">
        <f>-J6/2</f>
        <v>-5.3</v>
      </c>
      <c r="C6" s="89">
        <f>-J8</f>
        <v>-2.2</v>
      </c>
      <c r="D6" s="80"/>
      <c r="E6" s="80"/>
      <c r="G6" s="87" t="s">
        <v>4</v>
      </c>
      <c r="H6" s="84" t="s">
        <v>10</v>
      </c>
      <c r="I6" s="88"/>
      <c r="J6" s="90">
        <v>10.6</v>
      </c>
      <c r="K6" s="83"/>
    </row>
    <row r="7" spans="1:11" ht="12.75">
      <c r="A7" s="79" t="s">
        <v>5</v>
      </c>
      <c r="B7" s="80">
        <f>-J6/10</f>
        <v>-1.06</v>
      </c>
      <c r="C7" s="89">
        <f>-J7</f>
        <v>-2.5</v>
      </c>
      <c r="D7" s="80"/>
      <c r="E7" s="80"/>
      <c r="G7" s="87" t="s">
        <v>5</v>
      </c>
      <c r="H7" s="84" t="s">
        <v>10</v>
      </c>
      <c r="I7" s="88"/>
      <c r="J7" s="90">
        <v>2.5</v>
      </c>
      <c r="K7" s="83"/>
    </row>
    <row r="8" spans="1:11" ht="12.75">
      <c r="A8" s="79"/>
      <c r="B8">
        <f>J6/10</f>
        <v>1.06</v>
      </c>
      <c r="C8" s="75">
        <f>C7</f>
        <v>-2.5</v>
      </c>
      <c r="G8" s="87" t="s">
        <v>6</v>
      </c>
      <c r="H8" s="84" t="s">
        <v>10</v>
      </c>
      <c r="I8" s="88"/>
      <c r="J8" s="91">
        <v>2.2</v>
      </c>
      <c r="K8" s="83"/>
    </row>
    <row r="9" spans="1:11" ht="12.75">
      <c r="A9" s="79"/>
      <c r="B9" s="75">
        <f>J6/2</f>
        <v>5.3</v>
      </c>
      <c r="C9" s="75">
        <f>-J8</f>
        <v>-2.2</v>
      </c>
      <c r="G9" s="87" t="s">
        <v>65</v>
      </c>
      <c r="H9" s="84"/>
      <c r="I9" s="88"/>
      <c r="J9" s="92">
        <v>0.6</v>
      </c>
      <c r="K9" s="83"/>
    </row>
    <row r="10" spans="1:11" ht="12.75">
      <c r="A10" s="84"/>
      <c r="B10">
        <f>-B5</f>
        <v>9.484719967532467</v>
      </c>
      <c r="C10" s="80">
        <f>C5</f>
        <v>-0.85</v>
      </c>
      <c r="F10" s="80"/>
      <c r="G10" s="80"/>
      <c r="H10" s="80"/>
      <c r="I10" s="81"/>
      <c r="J10" s="81"/>
      <c r="K10" s="81"/>
    </row>
    <row r="11" spans="1:11" ht="12.75">
      <c r="A11" s="79"/>
      <c r="B11">
        <f>-B4</f>
        <v>11.715280032467533</v>
      </c>
      <c r="C11">
        <f>C4</f>
        <v>0.85</v>
      </c>
      <c r="F11" s="80"/>
      <c r="G11" s="80"/>
      <c r="H11" s="80"/>
      <c r="I11" s="80"/>
      <c r="J11" s="80"/>
      <c r="K11" s="80"/>
    </row>
    <row r="12" spans="1:11" ht="12.75">
      <c r="A12" s="79"/>
      <c r="B12">
        <f>-B3</f>
        <v>12.647727272727272</v>
      </c>
      <c r="C12">
        <f>J4</f>
        <v>3.4</v>
      </c>
      <c r="F12" s="80"/>
      <c r="G12" s="80"/>
      <c r="H12" s="80"/>
      <c r="I12" s="80"/>
      <c r="J12" s="80"/>
      <c r="K12" s="80"/>
    </row>
    <row r="13" spans="1:11" ht="12.75">
      <c r="A13" s="79"/>
      <c r="F13" s="80"/>
      <c r="G13" s="80"/>
      <c r="H13" s="80"/>
      <c r="I13" s="80"/>
      <c r="J13" s="80"/>
      <c r="K13" s="80"/>
    </row>
    <row r="14" spans="1:11" ht="12.75">
      <c r="A14" s="79"/>
      <c r="F14" s="80"/>
      <c r="G14" s="80"/>
      <c r="H14" s="80"/>
      <c r="I14" s="80"/>
      <c r="J14" s="80"/>
      <c r="K14" s="80"/>
    </row>
    <row r="15" spans="1:11" ht="12.75">
      <c r="A15" s="79"/>
      <c r="B15" s="10" t="s">
        <v>1</v>
      </c>
      <c r="C15" s="94" t="s">
        <v>67</v>
      </c>
      <c r="F15" s="80"/>
      <c r="G15" s="80"/>
      <c r="H15" s="80"/>
      <c r="I15" s="80"/>
      <c r="J15" s="80"/>
      <c r="K15" s="80"/>
    </row>
    <row r="16" spans="1:11" ht="12.75">
      <c r="A16" s="79"/>
      <c r="B16" s="10" t="s">
        <v>3</v>
      </c>
      <c r="C16" s="94" t="s">
        <v>68</v>
      </c>
      <c r="F16" s="80"/>
      <c r="G16" s="80"/>
      <c r="H16" s="80"/>
      <c r="I16" s="80"/>
      <c r="J16" s="80"/>
      <c r="K16" s="80"/>
    </row>
    <row r="17" spans="1:11" ht="12.75">
      <c r="A17" s="79"/>
      <c r="B17" s="10" t="s">
        <v>4</v>
      </c>
      <c r="C17" s="94" t="s">
        <v>69</v>
      </c>
      <c r="F17" s="80"/>
      <c r="G17" s="80"/>
      <c r="H17" s="80"/>
      <c r="I17" s="80"/>
      <c r="J17" s="80"/>
      <c r="K17" s="80"/>
    </row>
    <row r="18" spans="1:11" ht="12.75">
      <c r="A18" s="79"/>
      <c r="B18" s="10" t="s">
        <v>5</v>
      </c>
      <c r="C18" s="94" t="s">
        <v>70</v>
      </c>
      <c r="F18" s="80"/>
      <c r="G18" s="80"/>
      <c r="H18" s="80"/>
      <c r="I18" s="80"/>
      <c r="J18" s="80"/>
      <c r="K18" s="80"/>
    </row>
    <row r="19" spans="2:3" ht="12.75">
      <c r="B19" s="10" t="s">
        <v>6</v>
      </c>
      <c r="C19" s="94" t="s">
        <v>71</v>
      </c>
    </row>
    <row r="23" ht="12.75">
      <c r="F23" s="95" t="s">
        <v>1</v>
      </c>
    </row>
    <row r="25" ht="12.75">
      <c r="E25" t="s">
        <v>6</v>
      </c>
    </row>
    <row r="26" ht="12.75">
      <c r="D26" t="s">
        <v>5</v>
      </c>
    </row>
    <row r="27" ht="12.75">
      <c r="F27" t="s">
        <v>72</v>
      </c>
    </row>
    <row r="30" ht="12.75">
      <c r="D30" t="s">
        <v>4</v>
      </c>
    </row>
  </sheetData>
  <printOptions/>
  <pageMargins left="0.75" right="0.75" top="0.93" bottom="0.71" header="0.5" footer="0.36"/>
  <pageSetup horizontalDpi="600" verticalDpi="6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Nicholls</dc:creator>
  <cp:keywords/>
  <dc:description/>
  <cp:lastModifiedBy>David Nicholls</cp:lastModifiedBy>
  <cp:lastPrinted>2003-05-11T00:14:11Z</cp:lastPrinted>
  <dcterms:created xsi:type="dcterms:W3CDTF">2003-05-09T01:27:22Z</dcterms:created>
  <dcterms:modified xsi:type="dcterms:W3CDTF">2003-05-11T00:14:28Z</dcterms:modified>
  <cp:category/>
  <cp:version/>
  <cp:contentType/>
  <cp:contentStatus/>
</cp:coreProperties>
</file>