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55" windowHeight="6150" activeTab="0"/>
  </bookViews>
  <sheets>
    <sheet name="coque" sheetId="1" r:id="rId1"/>
    <sheet name="voilure" sheetId="2" r:id="rId2"/>
  </sheets>
  <definedNames/>
  <calcPr fullCalcOnLoad="1"/>
</workbook>
</file>

<file path=xl/sharedStrings.xml><?xml version="1.0" encoding="utf-8"?>
<sst xmlns="http://schemas.openxmlformats.org/spreadsheetml/2006/main" count="197" uniqueCount="121">
  <si>
    <t>Centre de Voilure :</t>
  </si>
  <si>
    <t>CoV</t>
  </si>
  <si>
    <t>cm</t>
  </si>
  <si>
    <t>Maitre</t>
  </si>
  <si>
    <t>Fb</t>
  </si>
  <si>
    <t>mm</t>
  </si>
  <si>
    <t xml:space="preserve"> bau</t>
  </si>
  <si>
    <t>B</t>
  </si>
  <si>
    <t>Centre de derive :</t>
  </si>
  <si>
    <t>Lwl requis :</t>
  </si>
  <si>
    <t>CoD</t>
  </si>
  <si>
    <t>Bwl</t>
  </si>
  <si>
    <t>D1</t>
  </si>
  <si>
    <t>D2</t>
  </si>
  <si>
    <t>Centre de carene :</t>
  </si>
  <si>
    <t>Voir SIMSON.xls</t>
  </si>
  <si>
    <t>CoC</t>
  </si>
  <si>
    <t>A</t>
  </si>
  <si>
    <t>cm2</t>
  </si>
  <si>
    <t>Centre de gravite ;</t>
  </si>
  <si>
    <t>CoG</t>
  </si>
  <si>
    <t>Lwl</t>
  </si>
  <si>
    <t>Cb</t>
  </si>
  <si>
    <t>masse</t>
  </si>
  <si>
    <t>deplacement</t>
  </si>
  <si>
    <t>z</t>
  </si>
  <si>
    <t>Mom't / z</t>
  </si>
  <si>
    <t>x</t>
  </si>
  <si>
    <t>Mom't / x</t>
  </si>
  <si>
    <t>W</t>
  </si>
  <si>
    <t>cm3</t>
  </si>
  <si>
    <t>Pcoq</t>
  </si>
  <si>
    <t>g</t>
  </si>
  <si>
    <t>P RC</t>
  </si>
  <si>
    <t>servo 1</t>
  </si>
  <si>
    <t>servo 2</t>
  </si>
  <si>
    <t>Stabilite</t>
  </si>
  <si>
    <t>(cm)</t>
  </si>
  <si>
    <t>Piles</t>
  </si>
  <si>
    <t>OC</t>
  </si>
  <si>
    <t>D1/3</t>
  </si>
  <si>
    <t>RC</t>
  </si>
  <si>
    <t>CM</t>
  </si>
  <si>
    <t>0.044 LB3/W</t>
  </si>
  <si>
    <t>Plest</t>
  </si>
  <si>
    <t>GO</t>
  </si>
  <si>
    <t xml:space="preserve">reported </t>
  </si>
  <si>
    <t>Pgree</t>
  </si>
  <si>
    <t>GM</t>
  </si>
  <si>
    <t>OC+CM+GO</t>
  </si>
  <si>
    <t>Total</t>
  </si>
  <si>
    <t>Stab</t>
  </si>
  <si>
    <t>g.cm</t>
  </si>
  <si>
    <t>Voilure</t>
  </si>
  <si>
    <t>SA</t>
  </si>
  <si>
    <t>dm2</t>
  </si>
  <si>
    <t>mat</t>
  </si>
  <si>
    <t>Loa</t>
  </si>
  <si>
    <t>V(30°)</t>
  </si>
  <si>
    <t>m/s</t>
  </si>
  <si>
    <t>DONNEES</t>
  </si>
  <si>
    <t>(en gras)</t>
  </si>
  <si>
    <t>Mat</t>
  </si>
  <si>
    <t>pos'n du mat</t>
  </si>
  <si>
    <t>from bow</t>
  </si>
  <si>
    <t>H du mat</t>
  </si>
  <si>
    <t>au dessus du pont</t>
  </si>
  <si>
    <t>Quete du mat</t>
  </si>
  <si>
    <t>(+ : en arriere)</t>
  </si>
  <si>
    <t>Balestron</t>
  </si>
  <si>
    <t>Long totale</t>
  </si>
  <si>
    <t>partie bome</t>
  </si>
  <si>
    <t>CALCULS</t>
  </si>
  <si>
    <t>Grand' voile</t>
  </si>
  <si>
    <t>ki</t>
  </si>
  <si>
    <t>Li*ki</t>
  </si>
  <si>
    <t>hi</t>
  </si>
  <si>
    <t>Li*hi*ki</t>
  </si>
  <si>
    <t>Li*Li*ki/2</t>
  </si>
  <si>
    <t>H</t>
  </si>
  <si>
    <t>L1</t>
  </si>
  <si>
    <t>en tete de mat</t>
  </si>
  <si>
    <t>Sag =</t>
  </si>
  <si>
    <t>de LxH</t>
  </si>
  <si>
    <t>L2</t>
  </si>
  <si>
    <t>L3</t>
  </si>
  <si>
    <t>CoPx =</t>
  </si>
  <si>
    <t xml:space="preserve">cm </t>
  </si>
  <si>
    <t>L4</t>
  </si>
  <si>
    <t>CoPz =</t>
  </si>
  <si>
    <t>derriere le mat</t>
  </si>
  <si>
    <t>L5</t>
  </si>
  <si>
    <t>a la bome</t>
  </si>
  <si>
    <t>avec la quete</t>
  </si>
  <si>
    <t>(sans quete de mat)</t>
  </si>
  <si>
    <t>Triangle avant</t>
  </si>
  <si>
    <t>Saf =</t>
  </si>
  <si>
    <t>h</t>
  </si>
  <si>
    <t>H triangle</t>
  </si>
  <si>
    <t>CoPxf =</t>
  </si>
  <si>
    <t>Hf</t>
  </si>
  <si>
    <t>S1</t>
  </si>
  <si>
    <t>G1</t>
  </si>
  <si>
    <t>CoPzf =</t>
  </si>
  <si>
    <t>devant le mat</t>
  </si>
  <si>
    <t>Lf1</t>
  </si>
  <si>
    <t>S2</t>
  </si>
  <si>
    <t>G2</t>
  </si>
  <si>
    <t>CoPzf simplifie =</t>
  </si>
  <si>
    <t>Lf2</t>
  </si>
  <si>
    <t>S</t>
  </si>
  <si>
    <t>SA =</t>
  </si>
  <si>
    <t>CoVx =</t>
  </si>
  <si>
    <t>de H</t>
  </si>
  <si>
    <t>Surface totale</t>
  </si>
  <si>
    <t>CoVz =</t>
  </si>
  <si>
    <t>CoV (centre de voilure) =</t>
  </si>
  <si>
    <t>devant la ppAR</t>
  </si>
  <si>
    <t>de L</t>
  </si>
  <si>
    <t>Ipuda</t>
  </si>
  <si>
    <t>Remarque apres essais, un peu plus de franc-bord a l'etrave serait bienvenu !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</si>
</sst>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"/>
    <numFmt numFmtId="166" formatCode="0.0%"/>
  </numFmts>
  <fonts count="20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b/>
      <sz val="6"/>
      <color indexed="12"/>
      <name val="Arial"/>
      <family val="2"/>
    </font>
    <font>
      <b/>
      <sz val="6"/>
      <name val="Arial"/>
      <family val="2"/>
    </font>
    <font>
      <b/>
      <sz val="6"/>
      <color indexed="10"/>
      <name val="Arial"/>
      <family val="2"/>
    </font>
    <font>
      <sz val="6"/>
      <color indexed="10"/>
      <name val="Arial"/>
      <family val="2"/>
    </font>
    <font>
      <b/>
      <sz val="6"/>
      <name val="MS Sans Serif"/>
      <family val="0"/>
    </font>
    <font>
      <sz val="6"/>
      <color indexed="55"/>
      <name val="Arial"/>
      <family val="2"/>
    </font>
    <font>
      <sz val="6"/>
      <name val="MS Sans Serif"/>
      <family val="0"/>
    </font>
    <font>
      <b/>
      <sz val="10"/>
      <name val="Arial"/>
      <family val="2"/>
    </font>
    <font>
      <b/>
      <sz val="6"/>
      <name val="Times New Roman"/>
      <family val="1"/>
    </font>
    <font>
      <sz val="6"/>
      <name val="Times New Roman"/>
      <family val="1"/>
    </font>
    <font>
      <sz val="6"/>
      <color indexed="12"/>
      <name val="Arial"/>
      <family val="0"/>
    </font>
    <font>
      <sz val="6"/>
      <color indexed="55"/>
      <name val="MS Sans Serif"/>
      <family val="2"/>
    </font>
    <font>
      <sz val="6"/>
      <color indexed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9" fontId="2" fillId="0" borderId="0" xfId="19" applyFont="1" applyAlignment="1">
      <alignment horizontal="center"/>
    </xf>
    <xf numFmtId="164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4" xfId="0" applyFont="1" applyBorder="1" applyAlignment="1">
      <alignment horizontal="left"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64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0" fontId="1" fillId="0" borderId="2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left"/>
    </xf>
    <xf numFmtId="0" fontId="0" fillId="0" borderId="3" xfId="0" applyFill="1" applyBorder="1" applyAlignment="1">
      <alignment/>
    </xf>
    <xf numFmtId="0" fontId="0" fillId="0" borderId="2" xfId="0" applyFill="1" applyBorder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horizontal="right"/>
    </xf>
    <xf numFmtId="0" fontId="4" fillId="0" borderId="0" xfId="0" applyFont="1" applyAlignment="1">
      <alignment horizontal="left" indent="1"/>
    </xf>
    <xf numFmtId="2" fontId="2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 indent="1"/>
    </xf>
    <xf numFmtId="0" fontId="2" fillId="0" borderId="0" xfId="0" applyFont="1" applyBorder="1" applyAlignment="1">
      <alignment horizontal="right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" fontId="9" fillId="0" borderId="0" xfId="0" applyNumberFormat="1" applyFont="1" applyAlignment="1" quotePrefix="1">
      <alignment/>
    </xf>
    <xf numFmtId="164" fontId="6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Alignment="1">
      <alignment horizontal="left"/>
    </xf>
    <xf numFmtId="164" fontId="4" fillId="0" borderId="0" xfId="0" applyNumberFormat="1" applyFont="1" applyAlignment="1">
      <alignment horizontal="right"/>
    </xf>
    <xf numFmtId="1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164" fontId="10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2" fillId="0" borderId="2" xfId="0" applyFont="1" applyBorder="1" applyAlignment="1">
      <alignment/>
    </xf>
    <xf numFmtId="1" fontId="9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0" fillId="0" borderId="10" xfId="0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1" fontId="2" fillId="0" borderId="0" xfId="0" applyNumberFormat="1" applyFont="1" applyFill="1" applyBorder="1" applyAlignment="1" quotePrefix="1">
      <alignment/>
    </xf>
    <xf numFmtId="2" fontId="7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164" fontId="2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 horizontal="right"/>
    </xf>
    <xf numFmtId="2" fontId="14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9" fontId="8" fillId="0" borderId="0" xfId="19" applyFont="1" applyFill="1" applyBorder="1" applyAlignment="1">
      <alignment/>
    </xf>
    <xf numFmtId="0" fontId="13" fillId="0" borderId="0" xfId="0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" fontId="2" fillId="0" borderId="0" xfId="0" applyNumberFormat="1" applyFont="1" applyFill="1" applyBorder="1" applyAlignment="1">
      <alignment horizontal="right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7" xfId="0" applyFont="1" applyBorder="1" applyAlignment="1">
      <alignment/>
    </xf>
    <xf numFmtId="0" fontId="16" fillId="0" borderId="0" xfId="0" applyFont="1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18" fillId="0" borderId="0" xfId="0" applyFont="1" applyAlignment="1">
      <alignment horizontal="right"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9" fontId="0" fillId="0" borderId="0" xfId="19" applyAlignment="1">
      <alignment/>
    </xf>
    <xf numFmtId="0" fontId="19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64" fontId="0" fillId="0" borderId="0" xfId="0" applyNumberFormat="1" applyAlignment="1">
      <alignment horizontal="left"/>
    </xf>
    <xf numFmtId="0" fontId="10" fillId="0" borderId="7" xfId="0" applyFont="1" applyBorder="1" applyAlignment="1">
      <alignment/>
    </xf>
    <xf numFmtId="2" fontId="18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10" fillId="0" borderId="2" xfId="0" applyFont="1" applyBorder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 horizontal="left"/>
    </xf>
    <xf numFmtId="0" fontId="10" fillId="0" borderId="0" xfId="0" applyFont="1" applyBorder="1" applyAlignment="1">
      <alignment/>
    </xf>
    <xf numFmtId="9" fontId="0" fillId="0" borderId="0" xfId="19" applyFont="1" applyAlignment="1">
      <alignment/>
    </xf>
    <xf numFmtId="164" fontId="10" fillId="0" borderId="0" xfId="0" applyNumberFormat="1" applyFont="1" applyAlignment="1">
      <alignment/>
    </xf>
    <xf numFmtId="166" fontId="18" fillId="0" borderId="0" xfId="19" applyNumberFormat="1" applyFont="1" applyAlignment="1">
      <alignment/>
    </xf>
    <xf numFmtId="0" fontId="10" fillId="0" borderId="0" xfId="0" applyFont="1" applyAlignment="1">
      <alignment horizontal="right"/>
    </xf>
    <xf numFmtId="166" fontId="0" fillId="0" borderId="0" xfId="0" applyNumberFormat="1" applyAlignment="1">
      <alignment/>
    </xf>
    <xf numFmtId="0" fontId="13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104775</xdr:colOff>
      <xdr:row>19</xdr:row>
      <xdr:rowOff>57150</xdr:rowOff>
    </xdr:from>
    <xdr:to>
      <xdr:col>26</xdr:col>
      <xdr:colOff>104775</xdr:colOff>
      <xdr:row>25</xdr:row>
      <xdr:rowOff>57150</xdr:rowOff>
    </xdr:to>
    <xdr:grpSp>
      <xdr:nvGrpSpPr>
        <xdr:cNvPr id="1" name="Group 46"/>
        <xdr:cNvGrpSpPr>
          <a:grpSpLocks/>
        </xdr:cNvGrpSpPr>
      </xdr:nvGrpSpPr>
      <xdr:grpSpPr>
        <a:xfrm>
          <a:off x="2609850" y="2228850"/>
          <a:ext cx="457200" cy="685800"/>
          <a:chOff x="323" y="234"/>
          <a:chExt cx="48" cy="72"/>
        </a:xfrm>
        <a:solidFill>
          <a:srgbClr val="FFFFFF"/>
        </a:solidFill>
      </xdr:grpSpPr>
      <xdr:sp>
        <xdr:nvSpPr>
          <xdr:cNvPr id="2" name="Rectangle 47"/>
          <xdr:cNvSpPr>
            <a:spLocks/>
          </xdr:cNvSpPr>
        </xdr:nvSpPr>
        <xdr:spPr>
          <a:xfrm>
            <a:off x="323" y="234"/>
            <a:ext cx="48" cy="72"/>
          </a:xfrm>
          <a:prstGeom prst="rect">
            <a:avLst/>
          </a:prstGeom>
          <a:solidFill>
            <a:srgbClr val="96969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48"/>
          <xdr:cNvSpPr>
            <a:spLocks/>
          </xdr:cNvSpPr>
        </xdr:nvSpPr>
        <xdr:spPr>
          <a:xfrm>
            <a:off x="329" y="240"/>
            <a:ext cx="42" cy="6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22</xdr:col>
      <xdr:colOff>76200</xdr:colOff>
      <xdr:row>6</xdr:row>
      <xdr:rowOff>47625</xdr:rowOff>
    </xdr:from>
    <xdr:to>
      <xdr:col>30</xdr:col>
      <xdr:colOff>0</xdr:colOff>
      <xdr:row>30</xdr:row>
      <xdr:rowOff>57150</xdr:rowOff>
    </xdr:to>
    <xdr:grpSp>
      <xdr:nvGrpSpPr>
        <xdr:cNvPr id="4" name="Group 49"/>
        <xdr:cNvGrpSpPr>
          <a:grpSpLocks/>
        </xdr:cNvGrpSpPr>
      </xdr:nvGrpSpPr>
      <xdr:grpSpPr>
        <a:xfrm>
          <a:off x="2581275" y="733425"/>
          <a:ext cx="838200" cy="2752725"/>
          <a:chOff x="268" y="77"/>
          <a:chExt cx="88" cy="289"/>
        </a:xfrm>
        <a:solidFill>
          <a:srgbClr val="FFFFFF"/>
        </a:solidFill>
      </xdr:grpSpPr>
      <xdr:sp>
        <xdr:nvSpPr>
          <xdr:cNvPr id="5" name="Polygon 50"/>
          <xdr:cNvSpPr>
            <a:spLocks/>
          </xdr:cNvSpPr>
        </xdr:nvSpPr>
        <xdr:spPr>
          <a:xfrm>
            <a:off x="268" y="77"/>
            <a:ext cx="88" cy="289"/>
          </a:xfrm>
          <a:custGeom>
            <a:pathLst>
              <a:path h="289" w="88">
                <a:moveTo>
                  <a:pt x="34" y="288"/>
                </a:moveTo>
                <a:lnTo>
                  <a:pt x="88" y="79"/>
                </a:lnTo>
                <a:lnTo>
                  <a:pt x="88" y="75"/>
                </a:lnTo>
                <a:lnTo>
                  <a:pt x="83" y="0"/>
                </a:lnTo>
                <a:lnTo>
                  <a:pt x="77" y="1"/>
                </a:lnTo>
                <a:lnTo>
                  <a:pt x="35" y="73"/>
                </a:lnTo>
                <a:lnTo>
                  <a:pt x="0" y="289"/>
                </a:lnTo>
                <a:lnTo>
                  <a:pt x="13" y="288"/>
                </a:lnTo>
                <a:lnTo>
                  <a:pt x="24" y="287"/>
                </a:lnTo>
                <a:lnTo>
                  <a:pt x="34" y="288"/>
                </a:lnTo>
                <a:close/>
              </a:path>
            </a:pathLst>
          </a:custGeom>
          <a:solidFill>
            <a:srgbClr val="FFFFFF">
              <a:alpha val="69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Oval 51"/>
          <xdr:cNvSpPr>
            <a:spLocks/>
          </xdr:cNvSpPr>
        </xdr:nvSpPr>
        <xdr:spPr>
          <a:xfrm>
            <a:off x="307" y="234"/>
            <a:ext cx="9" cy="10"/>
          </a:xfrm>
          <a:prstGeom prst="ellipse">
            <a:avLst/>
          </a:prstGeom>
          <a:solidFill>
            <a:srgbClr val="FFFFFF">
              <a:alpha val="69000"/>
            </a:srgbClr>
          </a:solidFill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5</xdr:row>
      <xdr:rowOff>38100</xdr:rowOff>
    </xdr:from>
    <xdr:to>
      <xdr:col>52</xdr:col>
      <xdr:colOff>19050</xdr:colOff>
      <xdr:row>13</xdr:row>
      <xdr:rowOff>47625</xdr:rowOff>
    </xdr:to>
    <xdr:sp>
      <xdr:nvSpPr>
        <xdr:cNvPr id="7" name="Polygon 52"/>
        <xdr:cNvSpPr>
          <a:spLocks/>
        </xdr:cNvSpPr>
      </xdr:nvSpPr>
      <xdr:spPr>
        <a:xfrm>
          <a:off x="219075" y="609600"/>
          <a:ext cx="5734050" cy="923925"/>
        </a:xfrm>
        <a:custGeom>
          <a:pathLst>
            <a:path h="97" w="602">
              <a:moveTo>
                <a:pt x="0" y="44"/>
              </a:moveTo>
              <a:lnTo>
                <a:pt x="0" y="27"/>
              </a:lnTo>
              <a:lnTo>
                <a:pt x="28" y="27"/>
              </a:lnTo>
              <a:lnTo>
                <a:pt x="81" y="25"/>
              </a:lnTo>
              <a:lnTo>
                <a:pt x="155" y="24"/>
              </a:lnTo>
              <a:lnTo>
                <a:pt x="282" y="21"/>
              </a:lnTo>
              <a:lnTo>
                <a:pt x="353" y="19"/>
              </a:lnTo>
              <a:lnTo>
                <a:pt x="413" y="16"/>
              </a:lnTo>
              <a:lnTo>
                <a:pt x="479" y="11"/>
              </a:lnTo>
              <a:lnTo>
                <a:pt x="539" y="6"/>
              </a:lnTo>
              <a:lnTo>
                <a:pt x="601" y="0"/>
              </a:lnTo>
              <a:lnTo>
                <a:pt x="602" y="56"/>
              </a:lnTo>
              <a:lnTo>
                <a:pt x="542" y="71"/>
              </a:lnTo>
              <a:lnTo>
                <a:pt x="481" y="82"/>
              </a:lnTo>
              <a:lnTo>
                <a:pt x="421" y="90"/>
              </a:lnTo>
              <a:lnTo>
                <a:pt x="360" y="95"/>
              </a:lnTo>
              <a:lnTo>
                <a:pt x="301" y="97"/>
              </a:lnTo>
              <a:lnTo>
                <a:pt x="241" y="96"/>
              </a:lnTo>
              <a:lnTo>
                <a:pt x="181" y="93"/>
              </a:lnTo>
              <a:lnTo>
                <a:pt x="121" y="86"/>
              </a:lnTo>
              <a:lnTo>
                <a:pt x="60" y="76"/>
              </a:lnTo>
              <a:lnTo>
                <a:pt x="0" y="62"/>
              </a:lnTo>
              <a:lnTo>
                <a:pt x="0" y="44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47625</xdr:colOff>
      <xdr:row>30</xdr:row>
      <xdr:rowOff>0</xdr:rowOff>
    </xdr:from>
    <xdr:to>
      <xdr:col>28</xdr:col>
      <xdr:colOff>47625</xdr:colOff>
      <xdr:row>31</xdr:row>
      <xdr:rowOff>95250</xdr:rowOff>
    </xdr:to>
    <xdr:sp>
      <xdr:nvSpPr>
        <xdr:cNvPr id="8" name="Drawing 33"/>
        <xdr:cNvSpPr>
          <a:spLocks/>
        </xdr:cNvSpPr>
      </xdr:nvSpPr>
      <xdr:spPr>
        <a:xfrm>
          <a:off x="2209800" y="3429000"/>
          <a:ext cx="1028700" cy="209550"/>
        </a:xfrm>
        <a:custGeom>
          <a:pathLst>
            <a:path h="16384" w="16384">
              <a:moveTo>
                <a:pt x="0" y="10082"/>
              </a:moveTo>
              <a:lnTo>
                <a:pt x="0" y="6302"/>
              </a:lnTo>
              <a:lnTo>
                <a:pt x="0" y="6932"/>
              </a:lnTo>
              <a:lnTo>
                <a:pt x="0" y="10082"/>
              </a:lnTo>
              <a:lnTo>
                <a:pt x="5158" y="15124"/>
              </a:lnTo>
              <a:lnTo>
                <a:pt x="9102" y="16384"/>
              </a:lnTo>
              <a:lnTo>
                <a:pt x="12743" y="15754"/>
              </a:lnTo>
              <a:lnTo>
                <a:pt x="14564" y="14494"/>
              </a:lnTo>
              <a:lnTo>
                <a:pt x="15929" y="11973"/>
              </a:lnTo>
              <a:lnTo>
                <a:pt x="16384" y="10082"/>
              </a:lnTo>
              <a:lnTo>
                <a:pt x="16384" y="8192"/>
              </a:lnTo>
              <a:lnTo>
                <a:pt x="16081" y="5041"/>
              </a:lnTo>
              <a:lnTo>
                <a:pt x="14564" y="2521"/>
              </a:lnTo>
              <a:lnTo>
                <a:pt x="10923" y="630"/>
              </a:lnTo>
              <a:lnTo>
                <a:pt x="9102" y="0"/>
              </a:lnTo>
              <a:lnTo>
                <a:pt x="5158" y="1260"/>
              </a:lnTo>
              <a:lnTo>
                <a:pt x="0" y="6302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10</xdr:row>
      <xdr:rowOff>104775</xdr:rowOff>
    </xdr:from>
    <xdr:to>
      <xdr:col>6</xdr:col>
      <xdr:colOff>19050</xdr:colOff>
      <xdr:row>22</xdr:row>
      <xdr:rowOff>85725</xdr:rowOff>
    </xdr:to>
    <xdr:sp>
      <xdr:nvSpPr>
        <xdr:cNvPr id="9" name="Polygon 54"/>
        <xdr:cNvSpPr>
          <a:spLocks/>
        </xdr:cNvSpPr>
      </xdr:nvSpPr>
      <xdr:spPr>
        <a:xfrm rot="190616">
          <a:off x="295275" y="1247775"/>
          <a:ext cx="400050" cy="1352550"/>
        </a:xfrm>
        <a:custGeom>
          <a:pathLst>
            <a:path h="142" w="31">
              <a:moveTo>
                <a:pt x="0" y="0"/>
              </a:moveTo>
              <a:lnTo>
                <a:pt x="31" y="6"/>
              </a:lnTo>
              <a:lnTo>
                <a:pt x="20" y="118"/>
              </a:lnTo>
              <a:lnTo>
                <a:pt x="16" y="132"/>
              </a:lnTo>
              <a:lnTo>
                <a:pt x="11" y="140"/>
              </a:lnTo>
              <a:lnTo>
                <a:pt x="0" y="142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14</xdr:row>
      <xdr:rowOff>66675</xdr:rowOff>
    </xdr:from>
    <xdr:to>
      <xdr:col>27</xdr:col>
      <xdr:colOff>0</xdr:colOff>
      <xdr:row>21</xdr:row>
      <xdr:rowOff>38100</xdr:rowOff>
    </xdr:to>
    <xdr:grpSp>
      <xdr:nvGrpSpPr>
        <xdr:cNvPr id="10" name="Group 55"/>
        <xdr:cNvGrpSpPr>
          <a:grpSpLocks/>
        </xdr:cNvGrpSpPr>
      </xdr:nvGrpSpPr>
      <xdr:grpSpPr>
        <a:xfrm>
          <a:off x="342900" y="1666875"/>
          <a:ext cx="2733675" cy="771525"/>
          <a:chOff x="27" y="1164"/>
          <a:chExt cx="198" cy="84"/>
        </a:xfrm>
        <a:solidFill>
          <a:srgbClr val="FFFFFF"/>
        </a:solidFill>
      </xdr:grpSpPr>
      <xdr:sp>
        <xdr:nvSpPr>
          <xdr:cNvPr id="11" name="Oval 56"/>
          <xdr:cNvSpPr>
            <a:spLocks/>
          </xdr:cNvSpPr>
        </xdr:nvSpPr>
        <xdr:spPr>
          <a:xfrm>
            <a:off x="210" y="1224"/>
            <a:ext cx="15" cy="2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Oval 57"/>
          <xdr:cNvSpPr>
            <a:spLocks/>
          </xdr:cNvSpPr>
        </xdr:nvSpPr>
        <xdr:spPr>
          <a:xfrm>
            <a:off x="27" y="1164"/>
            <a:ext cx="15" cy="2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58"/>
          <xdr:cNvSpPr>
            <a:spLocks/>
          </xdr:cNvSpPr>
        </xdr:nvSpPr>
        <xdr:spPr>
          <a:xfrm>
            <a:off x="33" y="1174"/>
            <a:ext cx="183" cy="6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Oval 59"/>
          <xdr:cNvSpPr>
            <a:spLocks/>
          </xdr:cNvSpPr>
        </xdr:nvSpPr>
        <xdr:spPr>
          <a:xfrm>
            <a:off x="149" y="1203"/>
            <a:ext cx="16" cy="2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32</xdr:col>
      <xdr:colOff>95250</xdr:colOff>
      <xdr:row>1</xdr:row>
      <xdr:rowOff>9525</xdr:rowOff>
    </xdr:from>
    <xdr:to>
      <xdr:col>33</xdr:col>
      <xdr:colOff>19050</xdr:colOff>
      <xdr:row>7</xdr:row>
      <xdr:rowOff>0</xdr:rowOff>
    </xdr:to>
    <xdr:sp>
      <xdr:nvSpPr>
        <xdr:cNvPr id="15" name="Rectangle 60"/>
        <xdr:cNvSpPr>
          <a:spLocks/>
        </xdr:cNvSpPr>
      </xdr:nvSpPr>
      <xdr:spPr>
        <a:xfrm rot="21504971">
          <a:off x="3743325" y="123825"/>
          <a:ext cx="38100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22</xdr:col>
      <xdr:colOff>9525</xdr:colOff>
      <xdr:row>9</xdr:row>
      <xdr:rowOff>19050</xdr:rowOff>
    </xdr:to>
    <xdr:sp>
      <xdr:nvSpPr>
        <xdr:cNvPr id="16" name="Line 61"/>
        <xdr:cNvSpPr>
          <a:spLocks/>
        </xdr:cNvSpPr>
      </xdr:nvSpPr>
      <xdr:spPr>
        <a:xfrm flipV="1">
          <a:off x="219075" y="1028700"/>
          <a:ext cx="2295525" cy="190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8</xdr:row>
      <xdr:rowOff>57150</xdr:rowOff>
    </xdr:from>
    <xdr:to>
      <xdr:col>19</xdr:col>
      <xdr:colOff>9525</xdr:colOff>
      <xdr:row>10</xdr:row>
      <xdr:rowOff>104775</xdr:rowOff>
    </xdr:to>
    <xdr:sp>
      <xdr:nvSpPr>
        <xdr:cNvPr id="17" name="Rectangle 62"/>
        <xdr:cNvSpPr>
          <a:spLocks/>
        </xdr:cNvSpPr>
      </xdr:nvSpPr>
      <xdr:spPr>
        <a:xfrm>
          <a:off x="1714500" y="971550"/>
          <a:ext cx="4572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8</xdr:row>
      <xdr:rowOff>57150</xdr:rowOff>
    </xdr:from>
    <xdr:to>
      <xdr:col>11</xdr:col>
      <xdr:colOff>85725</xdr:colOff>
      <xdr:row>10</xdr:row>
      <xdr:rowOff>104775</xdr:rowOff>
    </xdr:to>
    <xdr:sp>
      <xdr:nvSpPr>
        <xdr:cNvPr id="18" name="Rectangle 63"/>
        <xdr:cNvSpPr>
          <a:spLocks/>
        </xdr:cNvSpPr>
      </xdr:nvSpPr>
      <xdr:spPr>
        <a:xfrm>
          <a:off x="876300" y="971550"/>
          <a:ext cx="4572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85725</xdr:colOff>
      <xdr:row>9</xdr:row>
      <xdr:rowOff>38100</xdr:rowOff>
    </xdr:from>
    <xdr:to>
      <xdr:col>24</xdr:col>
      <xdr:colOff>85725</xdr:colOff>
      <xdr:row>12</xdr:row>
      <xdr:rowOff>38100</xdr:rowOff>
    </xdr:to>
    <xdr:sp>
      <xdr:nvSpPr>
        <xdr:cNvPr id="19" name="Rectangle 64"/>
        <xdr:cNvSpPr>
          <a:spLocks/>
        </xdr:cNvSpPr>
      </xdr:nvSpPr>
      <xdr:spPr>
        <a:xfrm>
          <a:off x="2590800" y="1066800"/>
          <a:ext cx="2286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95250</xdr:colOff>
      <xdr:row>8</xdr:row>
      <xdr:rowOff>0</xdr:rowOff>
    </xdr:from>
    <xdr:to>
      <xdr:col>38</xdr:col>
      <xdr:colOff>95250</xdr:colOff>
      <xdr:row>12</xdr:row>
      <xdr:rowOff>0</xdr:rowOff>
    </xdr:to>
    <xdr:sp>
      <xdr:nvSpPr>
        <xdr:cNvPr id="20" name="Rectangle 65"/>
        <xdr:cNvSpPr>
          <a:spLocks/>
        </xdr:cNvSpPr>
      </xdr:nvSpPr>
      <xdr:spPr>
        <a:xfrm>
          <a:off x="3743325" y="914400"/>
          <a:ext cx="6858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53</xdr:col>
      <xdr:colOff>0</xdr:colOff>
      <xdr:row>10</xdr:row>
      <xdr:rowOff>0</xdr:rowOff>
    </xdr:to>
    <xdr:sp>
      <xdr:nvSpPr>
        <xdr:cNvPr id="21" name="Line 66"/>
        <xdr:cNvSpPr>
          <a:spLocks/>
        </xdr:cNvSpPr>
      </xdr:nvSpPr>
      <xdr:spPr>
        <a:xfrm>
          <a:off x="219075" y="1143000"/>
          <a:ext cx="582930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57150</xdr:rowOff>
    </xdr:from>
    <xdr:to>
      <xdr:col>52</xdr:col>
      <xdr:colOff>38100</xdr:colOff>
      <xdr:row>28</xdr:row>
      <xdr:rowOff>57150</xdr:rowOff>
    </xdr:to>
    <xdr:grpSp>
      <xdr:nvGrpSpPr>
        <xdr:cNvPr id="22" name="Group 67"/>
        <xdr:cNvGrpSpPr>
          <a:grpSpLocks/>
        </xdr:cNvGrpSpPr>
      </xdr:nvGrpSpPr>
      <xdr:grpSpPr>
        <a:xfrm>
          <a:off x="219075" y="1885950"/>
          <a:ext cx="5753100" cy="1371600"/>
          <a:chOff x="73" y="19"/>
          <a:chExt cx="329" cy="157"/>
        </a:xfrm>
        <a:solidFill>
          <a:srgbClr val="FFFFFF"/>
        </a:solidFill>
      </xdr:grpSpPr>
      <xdr:sp>
        <xdr:nvSpPr>
          <xdr:cNvPr id="23" name="AutoShape 68"/>
          <xdr:cNvSpPr>
            <a:spLocks/>
          </xdr:cNvSpPr>
        </xdr:nvSpPr>
        <xdr:spPr>
          <a:xfrm>
            <a:off x="73" y="19"/>
            <a:ext cx="329" cy="75"/>
          </a:xfrm>
          <a:custGeom>
            <a:pathLst>
              <a:path h="715962" w="3133725">
                <a:moveTo>
                  <a:pt x="0" y="287337"/>
                </a:moveTo>
                <a:cubicBezTo>
                  <a:pt x="104775" y="238124"/>
                  <a:pt x="209550" y="188912"/>
                  <a:pt x="314325" y="153987"/>
                </a:cubicBezTo>
                <a:cubicBezTo>
                  <a:pt x="419100" y="119062"/>
                  <a:pt x="523875" y="101600"/>
                  <a:pt x="628650" y="77787"/>
                </a:cubicBezTo>
                <a:cubicBezTo>
                  <a:pt x="733425" y="53974"/>
                  <a:pt x="839788" y="22224"/>
                  <a:pt x="942975" y="11112"/>
                </a:cubicBezTo>
                <a:cubicBezTo>
                  <a:pt x="1046162" y="0"/>
                  <a:pt x="1143000" y="7937"/>
                  <a:pt x="1247775" y="11112"/>
                </a:cubicBezTo>
                <a:cubicBezTo>
                  <a:pt x="1352550" y="14287"/>
                  <a:pt x="1466850" y="15875"/>
                  <a:pt x="1571625" y="30162"/>
                </a:cubicBezTo>
                <a:cubicBezTo>
                  <a:pt x="1676400" y="44449"/>
                  <a:pt x="1774825" y="68262"/>
                  <a:pt x="1876425" y="96837"/>
                </a:cubicBezTo>
                <a:cubicBezTo>
                  <a:pt x="1978025" y="125412"/>
                  <a:pt x="2076450" y="160337"/>
                  <a:pt x="2181225" y="201612"/>
                </a:cubicBezTo>
                <a:cubicBezTo>
                  <a:pt x="2286000" y="242887"/>
                  <a:pt x="2398713" y="292100"/>
                  <a:pt x="2505075" y="344487"/>
                </a:cubicBezTo>
                <a:cubicBezTo>
                  <a:pt x="2611437" y="396874"/>
                  <a:pt x="2714625" y="454025"/>
                  <a:pt x="2819400" y="515937"/>
                </a:cubicBezTo>
                <a:cubicBezTo>
                  <a:pt x="2924175" y="577849"/>
                  <a:pt x="3028950" y="646905"/>
                  <a:pt x="3133725" y="715962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AutoShape 69"/>
          <xdr:cNvSpPr>
            <a:spLocks/>
          </xdr:cNvSpPr>
        </xdr:nvSpPr>
        <xdr:spPr>
          <a:xfrm flipV="1">
            <a:off x="73" y="101"/>
            <a:ext cx="329" cy="75"/>
          </a:xfrm>
          <a:custGeom>
            <a:pathLst>
              <a:path h="715962" w="3133725">
                <a:moveTo>
                  <a:pt x="0" y="287337"/>
                </a:moveTo>
                <a:cubicBezTo>
                  <a:pt x="104775" y="238124"/>
                  <a:pt x="209550" y="188912"/>
                  <a:pt x="314325" y="153987"/>
                </a:cubicBezTo>
                <a:cubicBezTo>
                  <a:pt x="419100" y="119062"/>
                  <a:pt x="523875" y="101600"/>
                  <a:pt x="628650" y="77787"/>
                </a:cubicBezTo>
                <a:cubicBezTo>
                  <a:pt x="733425" y="53974"/>
                  <a:pt x="839788" y="22224"/>
                  <a:pt x="942975" y="11112"/>
                </a:cubicBezTo>
                <a:cubicBezTo>
                  <a:pt x="1046162" y="0"/>
                  <a:pt x="1143000" y="7937"/>
                  <a:pt x="1247775" y="11112"/>
                </a:cubicBezTo>
                <a:cubicBezTo>
                  <a:pt x="1352550" y="14287"/>
                  <a:pt x="1466850" y="15875"/>
                  <a:pt x="1571625" y="30162"/>
                </a:cubicBezTo>
                <a:cubicBezTo>
                  <a:pt x="1676400" y="44449"/>
                  <a:pt x="1774825" y="68262"/>
                  <a:pt x="1876425" y="96837"/>
                </a:cubicBezTo>
                <a:cubicBezTo>
                  <a:pt x="1978025" y="125412"/>
                  <a:pt x="2076450" y="160337"/>
                  <a:pt x="2181225" y="201612"/>
                </a:cubicBezTo>
                <a:cubicBezTo>
                  <a:pt x="2286000" y="242887"/>
                  <a:pt x="2398713" y="292100"/>
                  <a:pt x="2505075" y="344487"/>
                </a:cubicBezTo>
                <a:cubicBezTo>
                  <a:pt x="2611437" y="396874"/>
                  <a:pt x="2714625" y="454025"/>
                  <a:pt x="2819400" y="515937"/>
                </a:cubicBezTo>
                <a:cubicBezTo>
                  <a:pt x="2924175" y="577849"/>
                  <a:pt x="3028950" y="646905"/>
                  <a:pt x="3133725" y="715962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70"/>
          <xdr:cNvSpPr>
            <a:spLocks/>
          </xdr:cNvSpPr>
        </xdr:nvSpPr>
        <xdr:spPr>
          <a:xfrm flipV="1">
            <a:off x="73" y="49"/>
            <a:ext cx="0" cy="9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28</xdr:col>
      <xdr:colOff>0</xdr:colOff>
      <xdr:row>22</xdr:row>
      <xdr:rowOff>0</xdr:rowOff>
    </xdr:from>
    <xdr:to>
      <xdr:col>30</xdr:col>
      <xdr:colOff>0</xdr:colOff>
      <xdr:row>23</xdr:row>
      <xdr:rowOff>0</xdr:rowOff>
    </xdr:to>
    <xdr:grpSp>
      <xdr:nvGrpSpPr>
        <xdr:cNvPr id="26" name="Group 71"/>
        <xdr:cNvGrpSpPr>
          <a:grpSpLocks/>
        </xdr:cNvGrpSpPr>
      </xdr:nvGrpSpPr>
      <xdr:grpSpPr>
        <a:xfrm>
          <a:off x="3190875" y="2514600"/>
          <a:ext cx="228600" cy="114300"/>
          <a:chOff x="263" y="264"/>
          <a:chExt cx="24" cy="12"/>
        </a:xfrm>
        <a:solidFill>
          <a:srgbClr val="FFFFFF"/>
        </a:solidFill>
      </xdr:grpSpPr>
      <xdr:sp>
        <xdr:nvSpPr>
          <xdr:cNvPr id="27" name="Rectangle 72"/>
          <xdr:cNvSpPr>
            <a:spLocks/>
          </xdr:cNvSpPr>
        </xdr:nvSpPr>
        <xdr:spPr>
          <a:xfrm>
            <a:off x="263" y="264"/>
            <a:ext cx="24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73"/>
          <xdr:cNvSpPr>
            <a:spLocks/>
          </xdr:cNvSpPr>
        </xdr:nvSpPr>
        <xdr:spPr>
          <a:xfrm>
            <a:off x="266" y="267"/>
            <a:ext cx="18" cy="6"/>
          </a:xfrm>
          <a:prstGeom prst="rect">
            <a:avLst/>
          </a:prstGeom>
          <a:solidFill>
            <a:srgbClr val="33333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20</xdr:row>
      <xdr:rowOff>0</xdr:rowOff>
    </xdr:from>
    <xdr:to>
      <xdr:col>22</xdr:col>
      <xdr:colOff>0</xdr:colOff>
      <xdr:row>25</xdr:row>
      <xdr:rowOff>0</xdr:rowOff>
    </xdr:to>
    <xdr:sp>
      <xdr:nvSpPr>
        <xdr:cNvPr id="29" name="Rectangle 74"/>
        <xdr:cNvSpPr>
          <a:spLocks/>
        </xdr:cNvSpPr>
      </xdr:nvSpPr>
      <xdr:spPr>
        <a:xfrm>
          <a:off x="219075" y="2286000"/>
          <a:ext cx="228600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21</xdr:row>
      <xdr:rowOff>0</xdr:rowOff>
    </xdr:from>
    <xdr:to>
      <xdr:col>12</xdr:col>
      <xdr:colOff>0</xdr:colOff>
      <xdr:row>24</xdr:row>
      <xdr:rowOff>0</xdr:rowOff>
    </xdr:to>
    <xdr:grpSp>
      <xdr:nvGrpSpPr>
        <xdr:cNvPr id="30" name="Group 75"/>
        <xdr:cNvGrpSpPr>
          <a:grpSpLocks/>
        </xdr:cNvGrpSpPr>
      </xdr:nvGrpSpPr>
      <xdr:grpSpPr>
        <a:xfrm>
          <a:off x="847725" y="2400300"/>
          <a:ext cx="514350" cy="342900"/>
          <a:chOff x="449" y="246"/>
          <a:chExt cx="54" cy="36"/>
        </a:xfrm>
        <a:solidFill>
          <a:srgbClr val="FFFFFF"/>
        </a:solidFill>
      </xdr:grpSpPr>
      <xdr:sp>
        <xdr:nvSpPr>
          <xdr:cNvPr id="31" name="Rectangle 76"/>
          <xdr:cNvSpPr>
            <a:spLocks/>
          </xdr:cNvSpPr>
        </xdr:nvSpPr>
        <xdr:spPr>
          <a:xfrm>
            <a:off x="455" y="252"/>
            <a:ext cx="48" cy="24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77"/>
          <xdr:cNvSpPr>
            <a:spLocks/>
          </xdr:cNvSpPr>
        </xdr:nvSpPr>
        <xdr:spPr>
          <a:xfrm>
            <a:off x="467" y="246"/>
            <a:ext cx="0" cy="36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78"/>
          <xdr:cNvSpPr>
            <a:spLocks/>
          </xdr:cNvSpPr>
        </xdr:nvSpPr>
        <xdr:spPr>
          <a:xfrm>
            <a:off x="449" y="264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16</xdr:row>
      <xdr:rowOff>66675</xdr:rowOff>
    </xdr:from>
    <xdr:to>
      <xdr:col>19</xdr:col>
      <xdr:colOff>47625</xdr:colOff>
      <xdr:row>28</xdr:row>
      <xdr:rowOff>47625</xdr:rowOff>
    </xdr:to>
    <xdr:grpSp>
      <xdr:nvGrpSpPr>
        <xdr:cNvPr id="34" name="Group 79"/>
        <xdr:cNvGrpSpPr>
          <a:grpSpLocks/>
        </xdr:cNvGrpSpPr>
      </xdr:nvGrpSpPr>
      <xdr:grpSpPr>
        <a:xfrm>
          <a:off x="1343025" y="1895475"/>
          <a:ext cx="866775" cy="1352550"/>
          <a:chOff x="166" y="199"/>
          <a:chExt cx="91" cy="142"/>
        </a:xfrm>
        <a:solidFill>
          <a:srgbClr val="FFFFFF"/>
        </a:solidFill>
      </xdr:grpSpPr>
      <xdr:grpSp>
        <xdr:nvGrpSpPr>
          <xdr:cNvPr id="35" name="Group 80"/>
          <xdr:cNvGrpSpPr>
            <a:grpSpLocks/>
          </xdr:cNvGrpSpPr>
        </xdr:nvGrpSpPr>
        <xdr:grpSpPr>
          <a:xfrm flipH="1">
            <a:off x="203" y="252"/>
            <a:ext cx="54" cy="36"/>
            <a:chOff x="449" y="246"/>
            <a:chExt cx="54" cy="36"/>
          </a:xfrm>
          <a:solidFill>
            <a:srgbClr val="FFFFFF"/>
          </a:solidFill>
        </xdr:grpSpPr>
        <xdr:sp>
          <xdr:nvSpPr>
            <xdr:cNvPr id="36" name="Rectangle 81"/>
            <xdr:cNvSpPr>
              <a:spLocks/>
            </xdr:cNvSpPr>
          </xdr:nvSpPr>
          <xdr:spPr>
            <a:xfrm>
              <a:off x="455" y="252"/>
              <a:ext cx="48" cy="24"/>
            </a:xfrm>
            <a:prstGeom prst="rect">
              <a:avLst/>
            </a:prstGeom>
            <a:solidFill>
              <a:srgbClr val="C0C0C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" name="Line 82"/>
            <xdr:cNvSpPr>
              <a:spLocks/>
            </xdr:cNvSpPr>
          </xdr:nvSpPr>
          <xdr:spPr>
            <a:xfrm>
              <a:off x="467" y="246"/>
              <a:ext cx="0" cy="3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lg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" name="Line 83"/>
            <xdr:cNvSpPr>
              <a:spLocks/>
            </xdr:cNvSpPr>
          </xdr:nvSpPr>
          <xdr:spPr>
            <a:xfrm>
              <a:off x="449" y="264"/>
              <a:ext cx="3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lg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9" name="Arc 84"/>
          <xdr:cNvSpPr>
            <a:spLocks/>
          </xdr:cNvSpPr>
        </xdr:nvSpPr>
        <xdr:spPr>
          <a:xfrm flipH="1" flipV="1">
            <a:off x="166" y="199"/>
            <a:ext cx="73" cy="142"/>
          </a:xfrm>
          <a:prstGeom prst="arc">
            <a:avLst>
              <a:gd name="adj" fmla="val 26787736"/>
            </a:avLst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32</xdr:col>
      <xdr:colOff>76200</xdr:colOff>
      <xdr:row>22</xdr:row>
      <xdr:rowOff>19050</xdr:rowOff>
    </xdr:from>
    <xdr:to>
      <xdr:col>33</xdr:col>
      <xdr:colOff>38100</xdr:colOff>
      <xdr:row>22</xdr:row>
      <xdr:rowOff>95250</xdr:rowOff>
    </xdr:to>
    <xdr:sp>
      <xdr:nvSpPr>
        <xdr:cNvPr id="40" name="Oval 85"/>
        <xdr:cNvSpPr>
          <a:spLocks/>
        </xdr:cNvSpPr>
      </xdr:nvSpPr>
      <xdr:spPr>
        <a:xfrm>
          <a:off x="3724275" y="253365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76200</xdr:colOff>
      <xdr:row>20</xdr:row>
      <xdr:rowOff>66675</xdr:rowOff>
    </xdr:from>
    <xdr:to>
      <xdr:col>39</xdr:col>
      <xdr:colOff>0</xdr:colOff>
      <xdr:row>24</xdr:row>
      <xdr:rowOff>66675</xdr:rowOff>
    </xdr:to>
    <xdr:grpSp>
      <xdr:nvGrpSpPr>
        <xdr:cNvPr id="41" name="Group 86"/>
        <xdr:cNvGrpSpPr>
          <a:grpSpLocks/>
        </xdr:cNvGrpSpPr>
      </xdr:nvGrpSpPr>
      <xdr:grpSpPr>
        <a:xfrm rot="16200000" flipH="1">
          <a:off x="3952875" y="2352675"/>
          <a:ext cx="495300" cy="457200"/>
          <a:chOff x="323" y="234"/>
          <a:chExt cx="48" cy="72"/>
        </a:xfrm>
        <a:solidFill>
          <a:srgbClr val="FFFFFF"/>
        </a:solidFill>
      </xdr:grpSpPr>
      <xdr:sp>
        <xdr:nvSpPr>
          <xdr:cNvPr id="42" name="Rectangle 87"/>
          <xdr:cNvSpPr>
            <a:spLocks/>
          </xdr:cNvSpPr>
        </xdr:nvSpPr>
        <xdr:spPr>
          <a:xfrm>
            <a:off x="323" y="234"/>
            <a:ext cx="48" cy="72"/>
          </a:xfrm>
          <a:prstGeom prst="rect">
            <a:avLst/>
          </a:prstGeom>
          <a:solidFill>
            <a:srgbClr val="96969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Rectangle 88"/>
          <xdr:cNvSpPr>
            <a:spLocks/>
          </xdr:cNvSpPr>
        </xdr:nvSpPr>
        <xdr:spPr>
          <a:xfrm>
            <a:off x="329" y="240"/>
            <a:ext cx="42" cy="6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22</xdr:col>
      <xdr:colOff>47625</xdr:colOff>
      <xdr:row>4</xdr:row>
      <xdr:rowOff>0</xdr:rowOff>
    </xdr:from>
    <xdr:to>
      <xdr:col>22</xdr:col>
      <xdr:colOff>47625</xdr:colOff>
      <xdr:row>6</xdr:row>
      <xdr:rowOff>0</xdr:rowOff>
    </xdr:to>
    <xdr:sp>
      <xdr:nvSpPr>
        <xdr:cNvPr id="44" name="Line 89"/>
        <xdr:cNvSpPr>
          <a:spLocks/>
        </xdr:cNvSpPr>
      </xdr:nvSpPr>
      <xdr:spPr>
        <a:xfrm>
          <a:off x="2552700" y="4572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7</xdr:row>
      <xdr:rowOff>0</xdr:rowOff>
    </xdr:from>
    <xdr:to>
      <xdr:col>5</xdr:col>
      <xdr:colOff>47625</xdr:colOff>
      <xdr:row>13</xdr:row>
      <xdr:rowOff>0</xdr:rowOff>
    </xdr:to>
    <xdr:sp>
      <xdr:nvSpPr>
        <xdr:cNvPr id="45" name="Line 90"/>
        <xdr:cNvSpPr>
          <a:spLocks/>
        </xdr:cNvSpPr>
      </xdr:nvSpPr>
      <xdr:spPr>
        <a:xfrm>
          <a:off x="609600" y="800100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88"/>
  <sheetViews>
    <sheetView tabSelected="1" workbookViewId="0" topLeftCell="A1">
      <selection activeCell="AX17" sqref="AX17"/>
    </sheetView>
  </sheetViews>
  <sheetFormatPr defaultColWidth="9.140625" defaultRowHeight="12.75"/>
  <cols>
    <col min="1" max="1" width="1.57421875" style="83" customWidth="1"/>
    <col min="2" max="2" width="1.7109375" style="84" customWidth="1"/>
    <col min="3" max="54" width="1.7109375" style="15" customWidth="1"/>
    <col min="55" max="55" width="5.28125" style="59" customWidth="1"/>
    <col min="56" max="56" width="6.00390625" style="7" customWidth="1"/>
    <col min="57" max="57" width="5.28125" style="7" customWidth="1"/>
    <col min="58" max="58" width="3.7109375" style="85" customWidth="1"/>
    <col min="59" max="59" width="5.8515625" style="7" customWidth="1"/>
    <col min="60" max="60" width="3.7109375" style="30" customWidth="1"/>
    <col min="61" max="61" width="5.7109375" style="15" customWidth="1"/>
    <col min="62" max="62" width="3.7109375" style="15" customWidth="1"/>
    <col min="63" max="63" width="6.8515625" style="15" customWidth="1"/>
    <col min="64" max="64" width="5.7109375" style="15" customWidth="1"/>
    <col min="65" max="65" width="3.7109375" style="15" customWidth="1"/>
    <col min="66" max="66" width="6.8515625" style="15" customWidth="1"/>
    <col min="67" max="67" width="2.7109375" style="15" customWidth="1"/>
    <col min="68" max="68" width="6.7109375" style="11" customWidth="1"/>
    <col min="69" max="69" width="5.140625" style="11" customWidth="1"/>
    <col min="70" max="70" width="6.7109375" style="11" customWidth="1"/>
    <col min="71" max="16384" width="9.140625" style="15" customWidth="1"/>
  </cols>
  <sheetData>
    <row r="1" spans="1:69" ht="9" customHeight="1">
      <c r="A1" s="1"/>
      <c r="B1" s="2"/>
      <c r="C1" s="3"/>
      <c r="D1" s="4"/>
      <c r="E1" s="4"/>
      <c r="F1" s="4"/>
      <c r="G1" s="4">
        <v>5</v>
      </c>
      <c r="H1" s="3"/>
      <c r="I1" s="4"/>
      <c r="J1" s="4"/>
      <c r="K1" s="4"/>
      <c r="L1" s="5">
        <v>1</v>
      </c>
      <c r="M1" s="6">
        <v>0</v>
      </c>
      <c r="N1" s="4"/>
      <c r="O1" s="4"/>
      <c r="P1" s="4"/>
      <c r="Q1" s="5">
        <v>1</v>
      </c>
      <c r="R1" s="6">
        <v>5</v>
      </c>
      <c r="S1" s="4"/>
      <c r="T1" s="4"/>
      <c r="U1" s="4"/>
      <c r="V1" s="5">
        <v>2</v>
      </c>
      <c r="W1" s="6">
        <v>0</v>
      </c>
      <c r="X1" s="4"/>
      <c r="Y1" s="4"/>
      <c r="Z1" s="4"/>
      <c r="AA1" s="4">
        <v>2</v>
      </c>
      <c r="AB1" s="6">
        <v>5</v>
      </c>
      <c r="AC1" s="4"/>
      <c r="AD1" s="4"/>
      <c r="AE1" s="4"/>
      <c r="AF1" s="4">
        <v>3</v>
      </c>
      <c r="AG1" s="6">
        <v>0</v>
      </c>
      <c r="AH1" s="4"/>
      <c r="AI1" s="4"/>
      <c r="AJ1" s="4"/>
      <c r="AK1" s="4">
        <v>3</v>
      </c>
      <c r="AL1" s="6">
        <v>5</v>
      </c>
      <c r="AM1" s="4"/>
      <c r="AN1" s="4"/>
      <c r="AO1" s="4"/>
      <c r="AP1" s="4">
        <v>4</v>
      </c>
      <c r="AQ1" s="6">
        <v>0</v>
      </c>
      <c r="AR1" s="7"/>
      <c r="AS1" s="7"/>
      <c r="AT1" s="4"/>
      <c r="AU1" s="4">
        <v>4</v>
      </c>
      <c r="AV1" s="6">
        <v>5</v>
      </c>
      <c r="AW1" s="4"/>
      <c r="AX1" s="4"/>
      <c r="AY1" s="4"/>
      <c r="AZ1" s="4">
        <v>5</v>
      </c>
      <c r="BA1" s="6">
        <v>0</v>
      </c>
      <c r="BB1" s="8"/>
      <c r="BC1" s="5"/>
      <c r="BD1" s="4"/>
      <c r="BE1" s="4"/>
      <c r="BF1" s="9"/>
      <c r="BG1" s="4"/>
      <c r="BH1" s="10"/>
      <c r="BQ1" s="12"/>
    </row>
    <row r="2" spans="1:62" ht="9" customHeight="1">
      <c r="A2" s="1"/>
      <c r="B2" s="13"/>
      <c r="C2" s="14"/>
      <c r="H2" s="14"/>
      <c r="M2" s="14"/>
      <c r="R2" s="14"/>
      <c r="W2" s="14"/>
      <c r="AB2" s="14"/>
      <c r="AG2" s="14"/>
      <c r="AL2" s="14"/>
      <c r="AQ2" s="14"/>
      <c r="AV2" s="14"/>
      <c r="BA2" s="14"/>
      <c r="BC2" s="5"/>
      <c r="BD2" s="4"/>
      <c r="BE2" s="4"/>
      <c r="BF2" s="9"/>
      <c r="BG2" s="4"/>
      <c r="BH2" s="10"/>
      <c r="BI2" s="4"/>
      <c r="BJ2" s="4"/>
    </row>
    <row r="3" spans="1:71" ht="9" customHeight="1">
      <c r="A3" s="1"/>
      <c r="B3" s="13"/>
      <c r="C3" s="14"/>
      <c r="H3" s="14"/>
      <c r="M3" s="14"/>
      <c r="R3" s="14"/>
      <c r="W3" s="14"/>
      <c r="AB3" s="14"/>
      <c r="AG3" s="14"/>
      <c r="AL3" s="14"/>
      <c r="AQ3" s="14"/>
      <c r="AV3" s="14"/>
      <c r="BA3" s="14"/>
      <c r="BC3" s="5"/>
      <c r="BD3" s="5" t="s">
        <v>0</v>
      </c>
      <c r="BE3" s="9"/>
      <c r="BF3" s="9"/>
      <c r="BG3" s="4"/>
      <c r="BH3" s="16" t="s">
        <v>1</v>
      </c>
      <c r="BI3" s="16">
        <f>voilure!O35</f>
        <v>25.87172198789657</v>
      </c>
      <c r="BJ3" s="16" t="s">
        <v>2</v>
      </c>
      <c r="BP3" s="17" t="s">
        <v>3</v>
      </c>
      <c r="BQ3" s="18" t="s">
        <v>4</v>
      </c>
      <c r="BR3" s="19">
        <v>25</v>
      </c>
      <c r="BS3" s="11" t="s">
        <v>5</v>
      </c>
    </row>
    <row r="4" spans="1:71" ht="9" customHeight="1">
      <c r="A4" s="1"/>
      <c r="B4" s="13"/>
      <c r="C4" s="14"/>
      <c r="H4" s="14"/>
      <c r="M4" s="14"/>
      <c r="R4" s="14"/>
      <c r="W4" s="14"/>
      <c r="AB4" s="14"/>
      <c r="AG4" s="14"/>
      <c r="AL4" s="14"/>
      <c r="AQ4" s="14"/>
      <c r="AV4" s="14"/>
      <c r="BA4" s="14"/>
      <c r="BC4" s="5"/>
      <c r="BD4" s="20"/>
      <c r="BE4" s="21"/>
      <c r="BF4" s="21"/>
      <c r="BG4" s="22"/>
      <c r="BH4" s="10"/>
      <c r="BI4" s="4"/>
      <c r="BJ4" s="4"/>
      <c r="BP4" s="23" t="s">
        <v>6</v>
      </c>
      <c r="BQ4" s="18" t="s">
        <v>7</v>
      </c>
      <c r="BR4" s="19">
        <v>120</v>
      </c>
      <c r="BS4" s="11" t="s">
        <v>5</v>
      </c>
    </row>
    <row r="5" spans="1:71" ht="9" customHeight="1">
      <c r="A5" s="24"/>
      <c r="B5" s="25"/>
      <c r="C5" s="26"/>
      <c r="D5" s="27"/>
      <c r="E5" s="27"/>
      <c r="F5" s="27"/>
      <c r="G5" s="27"/>
      <c r="H5" s="26"/>
      <c r="I5" s="27"/>
      <c r="J5" s="27"/>
      <c r="K5" s="27"/>
      <c r="L5" s="27"/>
      <c r="M5" s="26"/>
      <c r="N5" s="27"/>
      <c r="O5" s="27"/>
      <c r="P5" s="27"/>
      <c r="Q5" s="27"/>
      <c r="R5" s="26"/>
      <c r="S5" s="27"/>
      <c r="T5" s="27"/>
      <c r="U5" s="27"/>
      <c r="V5" s="27"/>
      <c r="W5" s="26"/>
      <c r="X5" s="27"/>
      <c r="Y5" s="27"/>
      <c r="Z5" s="27"/>
      <c r="AA5" s="27"/>
      <c r="AB5" s="26"/>
      <c r="AC5" s="27"/>
      <c r="AD5" s="27"/>
      <c r="AE5" s="27"/>
      <c r="AF5" s="27"/>
      <c r="AG5" s="26"/>
      <c r="AH5" s="27"/>
      <c r="AI5" s="27"/>
      <c r="AJ5" s="27"/>
      <c r="AK5" s="27"/>
      <c r="AL5" s="26"/>
      <c r="AM5" s="27"/>
      <c r="AN5" s="27"/>
      <c r="AO5" s="27"/>
      <c r="AP5" s="27"/>
      <c r="AQ5" s="26"/>
      <c r="AR5" s="27"/>
      <c r="AS5" s="27"/>
      <c r="AT5" s="27"/>
      <c r="AU5" s="27"/>
      <c r="AV5" s="26"/>
      <c r="AW5" s="27"/>
      <c r="AX5" s="27"/>
      <c r="AY5" s="27"/>
      <c r="AZ5" s="27"/>
      <c r="BA5" s="26"/>
      <c r="BB5" s="27"/>
      <c r="BC5" s="5"/>
      <c r="BD5" s="5" t="s">
        <v>8</v>
      </c>
      <c r="BE5" s="28">
        <f>(BI3-BI5)/AP29</f>
        <v>0.1774344397579314</v>
      </c>
      <c r="BF5" s="29" t="s">
        <v>9</v>
      </c>
      <c r="BG5" s="4"/>
      <c r="BH5" s="10" t="s">
        <v>10</v>
      </c>
      <c r="BI5" s="126">
        <v>17</v>
      </c>
      <c r="BJ5" s="4" t="s">
        <v>2</v>
      </c>
      <c r="BP5" s="30"/>
      <c r="BQ5" s="18" t="s">
        <v>11</v>
      </c>
      <c r="BR5" s="19">
        <v>110</v>
      </c>
      <c r="BS5" s="11" t="s">
        <v>5</v>
      </c>
    </row>
    <row r="6" spans="1:71" ht="9" customHeight="1">
      <c r="A6" s="1"/>
      <c r="B6" s="13"/>
      <c r="C6" s="14"/>
      <c r="H6" s="14"/>
      <c r="M6" s="14"/>
      <c r="R6" s="14"/>
      <c r="W6" s="14"/>
      <c r="AB6" s="14"/>
      <c r="AG6" s="14"/>
      <c r="AL6" s="14"/>
      <c r="AQ6" s="14"/>
      <c r="AV6" s="14"/>
      <c r="BA6" s="14"/>
      <c r="BC6" s="5"/>
      <c r="BD6" s="4"/>
      <c r="BE6" s="4"/>
      <c r="BF6" s="9"/>
      <c r="BG6" s="4"/>
      <c r="BH6" s="10"/>
      <c r="BO6" s="4"/>
      <c r="BP6" s="30"/>
      <c r="BQ6" s="18" t="s">
        <v>12</v>
      </c>
      <c r="BR6" s="19">
        <v>36</v>
      </c>
      <c r="BS6" s="11" t="s">
        <v>5</v>
      </c>
    </row>
    <row r="7" spans="1:71" ht="9" customHeight="1">
      <c r="A7" s="1"/>
      <c r="B7" s="13"/>
      <c r="C7" s="14"/>
      <c r="H7" s="14"/>
      <c r="M7" s="14"/>
      <c r="R7" s="14"/>
      <c r="W7" s="14"/>
      <c r="AB7" s="14"/>
      <c r="AG7" s="14"/>
      <c r="AL7" s="14"/>
      <c r="AQ7" s="14"/>
      <c r="AV7" s="14"/>
      <c r="BA7" s="14"/>
      <c r="BC7" s="5"/>
      <c r="BD7" s="4"/>
      <c r="BE7" s="4"/>
      <c r="BF7" s="9"/>
      <c r="BG7" s="4"/>
      <c r="BH7" s="10"/>
      <c r="BO7" s="4"/>
      <c r="BP7" s="30"/>
      <c r="BQ7" s="18" t="s">
        <v>13</v>
      </c>
      <c r="BR7" s="19">
        <v>30</v>
      </c>
      <c r="BS7" s="11" t="s">
        <v>5</v>
      </c>
    </row>
    <row r="8" spans="1:71" ht="9" customHeight="1">
      <c r="A8" s="1"/>
      <c r="B8" s="13"/>
      <c r="C8" s="14"/>
      <c r="H8" s="14"/>
      <c r="M8" s="14"/>
      <c r="R8" s="14"/>
      <c r="W8" s="14"/>
      <c r="AB8" s="14"/>
      <c r="AG8" s="14"/>
      <c r="AL8" s="14"/>
      <c r="AQ8" s="14"/>
      <c r="AV8" s="14"/>
      <c r="BA8" s="14"/>
      <c r="BC8" s="5"/>
      <c r="BD8" s="5" t="s">
        <v>14</v>
      </c>
      <c r="BE8" s="2" t="s">
        <v>15</v>
      </c>
      <c r="BF8" s="21"/>
      <c r="BG8" s="22"/>
      <c r="BH8" s="22" t="s">
        <v>16</v>
      </c>
      <c r="BI8" s="22">
        <v>23.3</v>
      </c>
      <c r="BJ8" s="22" t="s">
        <v>2</v>
      </c>
      <c r="BO8" s="4"/>
      <c r="BP8" s="30"/>
      <c r="BQ8" s="31"/>
      <c r="BS8" s="11"/>
    </row>
    <row r="9" spans="1:71" ht="9" customHeight="1">
      <c r="A9" s="1"/>
      <c r="B9" s="13"/>
      <c r="C9" s="14"/>
      <c r="H9" s="14"/>
      <c r="M9" s="14"/>
      <c r="R9" s="14"/>
      <c r="W9" s="14"/>
      <c r="AB9" s="14"/>
      <c r="AG9" s="14"/>
      <c r="AL9" s="14"/>
      <c r="AQ9" s="14"/>
      <c r="AV9" s="14"/>
      <c r="BA9" s="14"/>
      <c r="BC9" s="5"/>
      <c r="BD9" s="20"/>
      <c r="BE9" s="21"/>
      <c r="BF9" s="21"/>
      <c r="BG9" s="22"/>
      <c r="BH9" s="10"/>
      <c r="BI9" s="4"/>
      <c r="BJ9" s="4"/>
      <c r="BK9" s="4"/>
      <c r="BN9" s="4"/>
      <c r="BO9" s="4"/>
      <c r="BP9" s="30"/>
      <c r="BQ9" s="31" t="s">
        <v>17</v>
      </c>
      <c r="BR9" s="11">
        <f>BR5*(4*BR7+BR6)/600</f>
        <v>28.6</v>
      </c>
      <c r="BS9" s="11" t="s">
        <v>18</v>
      </c>
    </row>
    <row r="10" spans="1:71" ht="9" customHeight="1" thickBot="1">
      <c r="A10" s="32"/>
      <c r="B10" s="33"/>
      <c r="C10" s="34"/>
      <c r="D10" s="35"/>
      <c r="E10" s="35"/>
      <c r="F10" s="35"/>
      <c r="G10" s="35"/>
      <c r="H10" s="34"/>
      <c r="I10" s="35"/>
      <c r="J10" s="35"/>
      <c r="K10" s="35"/>
      <c r="L10" s="35"/>
      <c r="M10" s="34"/>
      <c r="N10" s="35"/>
      <c r="O10" s="35"/>
      <c r="P10" s="35"/>
      <c r="Q10" s="35"/>
      <c r="R10" s="34"/>
      <c r="S10" s="35"/>
      <c r="T10" s="35"/>
      <c r="U10" s="35"/>
      <c r="V10" s="35"/>
      <c r="W10" s="34"/>
      <c r="X10" s="35"/>
      <c r="Y10" s="35"/>
      <c r="Z10" s="35"/>
      <c r="AA10" s="35"/>
      <c r="AB10" s="34"/>
      <c r="AC10" s="35"/>
      <c r="AD10" s="35"/>
      <c r="AE10" s="35"/>
      <c r="AF10" s="35"/>
      <c r="AG10" s="34"/>
      <c r="AH10" s="35"/>
      <c r="AI10" s="35"/>
      <c r="AJ10" s="35"/>
      <c r="AK10" s="35"/>
      <c r="AL10" s="34"/>
      <c r="AM10" s="35"/>
      <c r="AN10" s="35"/>
      <c r="AO10" s="35"/>
      <c r="AP10" s="35"/>
      <c r="AQ10" s="34"/>
      <c r="AR10" s="35"/>
      <c r="AS10" s="35"/>
      <c r="AT10" s="35"/>
      <c r="AU10" s="35"/>
      <c r="AV10" s="34"/>
      <c r="AW10" s="35"/>
      <c r="AX10" s="35"/>
      <c r="AY10" s="35"/>
      <c r="AZ10" s="35"/>
      <c r="BA10" s="34"/>
      <c r="BB10" s="35"/>
      <c r="BC10" s="5"/>
      <c r="BD10" s="36" t="s">
        <v>19</v>
      </c>
      <c r="BE10" s="4"/>
      <c r="BF10" s="9"/>
      <c r="BG10" s="4"/>
      <c r="BH10" s="10" t="s">
        <v>20</v>
      </c>
      <c r="BI10" s="9">
        <f>BI23</f>
        <v>23.303164556962024</v>
      </c>
      <c r="BJ10" s="4" t="str">
        <f>BJ23</f>
        <v>cm</v>
      </c>
      <c r="BO10" s="4"/>
      <c r="BP10" s="30"/>
      <c r="BQ10" s="31" t="s">
        <v>21</v>
      </c>
      <c r="BR10" s="19">
        <v>50</v>
      </c>
      <c r="BS10" s="11" t="s">
        <v>2</v>
      </c>
    </row>
    <row r="11" spans="1:70" s="40" customFormat="1" ht="9" customHeight="1">
      <c r="A11" s="37"/>
      <c r="B11" s="38"/>
      <c r="C11" s="39"/>
      <c r="H11" s="39"/>
      <c r="M11" s="39"/>
      <c r="R11" s="39"/>
      <c r="W11" s="39"/>
      <c r="AB11" s="39"/>
      <c r="AG11" s="39"/>
      <c r="AL11" s="39"/>
      <c r="AQ11" s="39"/>
      <c r="AR11" s="41"/>
      <c r="AS11" s="41"/>
      <c r="AV11" s="39"/>
      <c r="BA11" s="39"/>
      <c r="BO11" s="42"/>
      <c r="BP11" s="30"/>
      <c r="BQ11" s="31" t="s">
        <v>22</v>
      </c>
      <c r="BR11" s="11">
        <v>0.55</v>
      </c>
    </row>
    <row r="12" spans="1:70" s="40" customFormat="1" ht="9" customHeight="1">
      <c r="A12" s="37"/>
      <c r="B12" s="38"/>
      <c r="C12" s="39"/>
      <c r="H12" s="39"/>
      <c r="M12" s="39"/>
      <c r="R12" s="39"/>
      <c r="W12" s="39"/>
      <c r="AB12" s="39"/>
      <c r="AG12" s="39"/>
      <c r="AL12" s="39"/>
      <c r="AQ12" s="39"/>
      <c r="AR12" s="41"/>
      <c r="AS12" s="41"/>
      <c r="AV12" s="39"/>
      <c r="BA12" s="39"/>
      <c r="BE12" s="5" t="s">
        <v>23</v>
      </c>
      <c r="BF12" s="9"/>
      <c r="BG12" s="2" t="s">
        <v>24</v>
      </c>
      <c r="BH12" s="10"/>
      <c r="BI12" s="5" t="s">
        <v>25</v>
      </c>
      <c r="BJ12" s="5"/>
      <c r="BK12" s="5" t="s">
        <v>26</v>
      </c>
      <c r="BL12" s="5" t="s">
        <v>27</v>
      </c>
      <c r="BM12" s="5"/>
      <c r="BN12" s="5" t="s">
        <v>28</v>
      </c>
      <c r="BO12" s="42"/>
      <c r="BP12" s="30"/>
      <c r="BQ12" s="31"/>
      <c r="BR12" s="11"/>
    </row>
    <row r="13" spans="1:71" s="40" customFormat="1" ht="9" customHeight="1">
      <c r="A13" s="37"/>
      <c r="B13" s="38"/>
      <c r="C13" s="39"/>
      <c r="H13" s="39"/>
      <c r="M13" s="39"/>
      <c r="R13" s="39"/>
      <c r="W13" s="39"/>
      <c r="AB13" s="39"/>
      <c r="AG13" s="39"/>
      <c r="AL13" s="39"/>
      <c r="AQ13" s="39"/>
      <c r="AR13" s="41"/>
      <c r="AS13" s="41"/>
      <c r="AV13" s="39"/>
      <c r="BA13" s="39"/>
      <c r="BC13" s="5"/>
      <c r="BD13" s="20"/>
      <c r="BE13" s="4"/>
      <c r="BF13" s="9"/>
      <c r="BG13" s="4"/>
      <c r="BH13" s="10"/>
      <c r="BI13"/>
      <c r="BJ13"/>
      <c r="BK13" s="4"/>
      <c r="BL13"/>
      <c r="BM13"/>
      <c r="BN13" s="4"/>
      <c r="BO13" s="42"/>
      <c r="BP13" s="30"/>
      <c r="BQ13" s="31" t="s">
        <v>29</v>
      </c>
      <c r="BR13" s="43">
        <f>BR11*BR10*BR9</f>
        <v>786.5000000000001</v>
      </c>
      <c r="BS13" s="43" t="s">
        <v>30</v>
      </c>
    </row>
    <row r="14" spans="1:71" s="40" customFormat="1" ht="9" customHeight="1">
      <c r="A14" s="37"/>
      <c r="B14" s="38"/>
      <c r="C14" s="39"/>
      <c r="H14" s="39"/>
      <c r="M14" s="39"/>
      <c r="R14" s="39"/>
      <c r="W14" s="39"/>
      <c r="AB14" s="39"/>
      <c r="AG14" s="39"/>
      <c r="AL14" s="39"/>
      <c r="AQ14" s="39"/>
      <c r="AR14" s="41"/>
      <c r="AS14" s="41"/>
      <c r="AV14" s="39"/>
      <c r="BA14" s="39"/>
      <c r="BC14" s="5"/>
      <c r="BD14" s="44" t="s">
        <v>31</v>
      </c>
      <c r="BE14" s="45">
        <v>200</v>
      </c>
      <c r="BF14" s="10" t="s">
        <v>32</v>
      </c>
      <c r="BG14" s="46">
        <f>BE14</f>
        <v>200</v>
      </c>
      <c r="BH14" s="10" t="s">
        <v>32</v>
      </c>
      <c r="BI14" s="47">
        <v>25</v>
      </c>
      <c r="BJ14" s="4" t="s">
        <v>2</v>
      </c>
      <c r="BK14" s="48">
        <f>BI14*BG14</f>
        <v>5000</v>
      </c>
      <c r="BL14" s="47">
        <v>0</v>
      </c>
      <c r="BM14" s="4" t="s">
        <v>2</v>
      </c>
      <c r="BN14" s="5">
        <f>BL14*BG14</f>
        <v>0</v>
      </c>
      <c r="BO14" s="42"/>
      <c r="BP14" s="30"/>
      <c r="BQ14" s="11"/>
      <c r="BR14" s="11"/>
      <c r="BS14" s="11"/>
    </row>
    <row r="15" spans="1:70" s="40" customFormat="1" ht="9" customHeight="1">
      <c r="A15" s="49"/>
      <c r="B15" s="50"/>
      <c r="C15" s="51"/>
      <c r="D15" s="52"/>
      <c r="E15" s="52"/>
      <c r="F15" s="52"/>
      <c r="G15" s="52"/>
      <c r="H15" s="51"/>
      <c r="I15" s="52"/>
      <c r="J15" s="52"/>
      <c r="K15" s="52"/>
      <c r="L15" s="52"/>
      <c r="M15" s="51"/>
      <c r="N15" s="52"/>
      <c r="O15" s="52"/>
      <c r="P15" s="52"/>
      <c r="Q15" s="52"/>
      <c r="R15" s="51"/>
      <c r="S15" s="52"/>
      <c r="T15" s="52"/>
      <c r="U15" s="52"/>
      <c r="V15" s="52"/>
      <c r="W15" s="51"/>
      <c r="X15" s="52"/>
      <c r="Y15" s="52"/>
      <c r="Z15" s="52"/>
      <c r="AA15" s="52"/>
      <c r="AB15" s="51"/>
      <c r="AC15" s="52"/>
      <c r="AD15" s="52"/>
      <c r="AE15" s="52"/>
      <c r="AF15" s="52"/>
      <c r="AG15" s="51"/>
      <c r="AH15" s="52"/>
      <c r="AI15" s="52"/>
      <c r="AJ15" s="52"/>
      <c r="AK15" s="52"/>
      <c r="AL15" s="51"/>
      <c r="AM15" s="52"/>
      <c r="AN15" s="52"/>
      <c r="AO15" s="52"/>
      <c r="AP15" s="52"/>
      <c r="AQ15" s="51"/>
      <c r="AR15" s="52"/>
      <c r="AS15" s="52"/>
      <c r="AT15" s="52"/>
      <c r="AU15" s="52"/>
      <c r="AV15" s="51"/>
      <c r="AW15" s="52"/>
      <c r="AX15" s="52"/>
      <c r="AY15" s="52"/>
      <c r="AZ15" s="52"/>
      <c r="BA15" s="51"/>
      <c r="BB15" s="52"/>
      <c r="BC15" s="5"/>
      <c r="BD15" s="53" t="s">
        <v>33</v>
      </c>
      <c r="BE15" s="10"/>
      <c r="BF15" s="10"/>
      <c r="BG15"/>
      <c r="BH15" s="10"/>
      <c r="BI15" s="5"/>
      <c r="BJ15" s="4"/>
      <c r="BK15" s="48"/>
      <c r="BL15" s="5"/>
      <c r="BM15" s="4"/>
      <c r="BN15" s="5"/>
      <c r="BO15" s="42"/>
      <c r="BP15" s="30"/>
      <c r="BR15" s="11"/>
    </row>
    <row r="16" spans="1:67" ht="9" customHeight="1">
      <c r="A16" s="1"/>
      <c r="B16" s="13"/>
      <c r="C16" s="14"/>
      <c r="H16" s="14"/>
      <c r="M16" s="14"/>
      <c r="R16" s="14"/>
      <c r="S16" s="40"/>
      <c r="T16" s="40"/>
      <c r="U16" s="40"/>
      <c r="V16" s="40"/>
      <c r="W16" s="39"/>
      <c r="AB16" s="14"/>
      <c r="AG16" s="14"/>
      <c r="AL16" s="14"/>
      <c r="AQ16" s="14"/>
      <c r="AV16" s="14"/>
      <c r="BA16" s="14"/>
      <c r="BC16" s="36"/>
      <c r="BD16" s="54" t="s">
        <v>34</v>
      </c>
      <c r="BE16" s="10">
        <v>40</v>
      </c>
      <c r="BF16" s="10" t="s">
        <v>32</v>
      </c>
      <c r="BG16" s="42">
        <f>BE16</f>
        <v>40</v>
      </c>
      <c r="BH16" s="10" t="s">
        <v>32</v>
      </c>
      <c r="BI16" s="42">
        <v>7.5</v>
      </c>
      <c r="BJ16" s="4" t="s">
        <v>2</v>
      </c>
      <c r="BK16" s="48">
        <f aca="true" t="shared" si="0" ref="BK16:BK21">BI16*BG16</f>
        <v>300</v>
      </c>
      <c r="BL16" s="47">
        <v>0.5</v>
      </c>
      <c r="BM16" s="4" t="s">
        <v>2</v>
      </c>
      <c r="BN16" s="5">
        <f aca="true" t="shared" si="1" ref="BN16:BN21">BL16*BG16</f>
        <v>20</v>
      </c>
      <c r="BO16" s="4"/>
    </row>
    <row r="17" spans="1:71" ht="9" customHeight="1">
      <c r="A17" s="1"/>
      <c r="B17" s="2"/>
      <c r="C17" s="3"/>
      <c r="D17" s="4"/>
      <c r="E17" s="4"/>
      <c r="F17" s="4"/>
      <c r="G17" s="4">
        <v>5</v>
      </c>
      <c r="H17" s="3"/>
      <c r="I17" s="4"/>
      <c r="J17" s="4"/>
      <c r="K17" s="4"/>
      <c r="L17" s="5">
        <v>1</v>
      </c>
      <c r="M17" s="6">
        <v>0</v>
      </c>
      <c r="N17" s="4"/>
      <c r="O17" s="4"/>
      <c r="P17" s="4"/>
      <c r="Q17" s="5">
        <v>1</v>
      </c>
      <c r="R17" s="6">
        <v>5</v>
      </c>
      <c r="S17" s="4"/>
      <c r="T17" s="4"/>
      <c r="U17" s="4"/>
      <c r="V17" s="5">
        <v>2</v>
      </c>
      <c r="W17" s="6">
        <v>0</v>
      </c>
      <c r="X17" s="4"/>
      <c r="Y17" s="4"/>
      <c r="Z17" s="4"/>
      <c r="AA17" s="4">
        <v>2</v>
      </c>
      <c r="AB17" s="6">
        <v>5</v>
      </c>
      <c r="AC17" s="4"/>
      <c r="AD17" s="4"/>
      <c r="AE17" s="4"/>
      <c r="AF17" s="4">
        <v>3</v>
      </c>
      <c r="AG17" s="6">
        <v>0</v>
      </c>
      <c r="AH17" s="4"/>
      <c r="AI17" s="4"/>
      <c r="AJ17" s="4"/>
      <c r="AK17" s="4">
        <v>3</v>
      </c>
      <c r="AL17" s="6">
        <v>5</v>
      </c>
      <c r="AM17" s="4"/>
      <c r="AN17" s="4"/>
      <c r="AO17" s="4"/>
      <c r="AP17" s="4">
        <v>4</v>
      </c>
      <c r="AQ17" s="6">
        <v>0</v>
      </c>
      <c r="AR17" s="7"/>
      <c r="AS17" s="7"/>
      <c r="AT17" s="4"/>
      <c r="AU17" s="4">
        <v>4</v>
      </c>
      <c r="AV17" s="6">
        <v>5</v>
      </c>
      <c r="AW17" s="4"/>
      <c r="AX17" s="4"/>
      <c r="AY17" s="4"/>
      <c r="AZ17" s="4">
        <v>5</v>
      </c>
      <c r="BA17" s="6">
        <v>0</v>
      </c>
      <c r="BB17" s="8"/>
      <c r="BC17" s="36"/>
      <c r="BD17" s="54" t="s">
        <v>35</v>
      </c>
      <c r="BE17" s="10">
        <v>40</v>
      </c>
      <c r="BF17" s="10" t="s">
        <v>32</v>
      </c>
      <c r="BG17" s="42">
        <f>BE17</f>
        <v>40</v>
      </c>
      <c r="BH17" s="10" t="s">
        <v>32</v>
      </c>
      <c r="BI17" s="47">
        <v>15</v>
      </c>
      <c r="BJ17" s="4" t="s">
        <v>2</v>
      </c>
      <c r="BK17" s="48">
        <f t="shared" si="0"/>
        <v>600</v>
      </c>
      <c r="BL17" s="47">
        <v>0.5</v>
      </c>
      <c r="BM17" s="4" t="s">
        <v>2</v>
      </c>
      <c r="BN17" s="5">
        <f t="shared" si="1"/>
        <v>20</v>
      </c>
      <c r="BO17" s="4"/>
      <c r="BP17" s="23" t="s">
        <v>36</v>
      </c>
      <c r="BQ17" s="31"/>
      <c r="BR17" s="55" t="s">
        <v>37</v>
      </c>
      <c r="BS17" s="11"/>
    </row>
    <row r="18" spans="1:71" ht="9" customHeight="1">
      <c r="A18" s="1"/>
      <c r="B18" s="13"/>
      <c r="C18" s="14"/>
      <c r="H18" s="14"/>
      <c r="M18" s="14"/>
      <c r="R18" s="14"/>
      <c r="S18" s="40"/>
      <c r="T18" s="40"/>
      <c r="U18" s="40"/>
      <c r="V18" s="40"/>
      <c r="W18" s="39"/>
      <c r="AB18" s="14"/>
      <c r="AG18" s="14"/>
      <c r="AL18" s="14"/>
      <c r="AQ18" s="14"/>
      <c r="AV18" s="14"/>
      <c r="BA18" s="14"/>
      <c r="BC18" s="56"/>
      <c r="BD18" s="54" t="s">
        <v>38</v>
      </c>
      <c r="BE18" s="10">
        <v>95</v>
      </c>
      <c r="BF18" s="10" t="s">
        <v>32</v>
      </c>
      <c r="BG18" s="42">
        <f>BE18</f>
        <v>95</v>
      </c>
      <c r="BH18" s="10" t="s">
        <v>32</v>
      </c>
      <c r="BI18" s="47">
        <v>33.5</v>
      </c>
      <c r="BJ18" s="4" t="s">
        <v>2</v>
      </c>
      <c r="BK18" s="48">
        <f t="shared" si="0"/>
        <v>3182.5</v>
      </c>
      <c r="BL18" s="47">
        <v>0</v>
      </c>
      <c r="BM18" s="4" t="s">
        <v>2</v>
      </c>
      <c r="BN18" s="5">
        <f t="shared" si="1"/>
        <v>0</v>
      </c>
      <c r="BO18" s="4"/>
      <c r="BP18" s="30"/>
      <c r="BQ18" s="31" t="s">
        <v>39</v>
      </c>
      <c r="BR18" s="57">
        <f>-BR6/30</f>
        <v>-1.2</v>
      </c>
      <c r="BS18" s="58" t="s">
        <v>40</v>
      </c>
    </row>
    <row r="19" spans="1:71" ht="9" customHeight="1">
      <c r="A19" s="1"/>
      <c r="B19" s="13"/>
      <c r="C19" s="14"/>
      <c r="H19" s="14"/>
      <c r="M19" s="14"/>
      <c r="R19" s="14"/>
      <c r="S19" s="40"/>
      <c r="T19" s="40"/>
      <c r="U19" s="40"/>
      <c r="V19" s="40"/>
      <c r="W19" s="39"/>
      <c r="AB19" s="14"/>
      <c r="AG19" s="14"/>
      <c r="AL19" s="14"/>
      <c r="AQ19" s="14"/>
      <c r="AV19" s="14"/>
      <c r="BA19" s="14"/>
      <c r="BC19" s="36"/>
      <c r="BD19" s="54" t="s">
        <v>41</v>
      </c>
      <c r="BE19" s="10">
        <v>30</v>
      </c>
      <c r="BF19" s="10" t="s">
        <v>32</v>
      </c>
      <c r="BG19" s="42">
        <f>BE19</f>
        <v>30</v>
      </c>
      <c r="BH19" s="10" t="s">
        <v>32</v>
      </c>
      <c r="BI19" s="47">
        <v>22</v>
      </c>
      <c r="BJ19" s="4" t="s">
        <v>2</v>
      </c>
      <c r="BK19" s="48">
        <f t="shared" si="0"/>
        <v>660</v>
      </c>
      <c r="BL19" s="47">
        <v>-1</v>
      </c>
      <c r="BM19" s="4" t="s">
        <v>2</v>
      </c>
      <c r="BN19" s="5">
        <f t="shared" si="1"/>
        <v>-30</v>
      </c>
      <c r="BO19" s="4"/>
      <c r="BP19" s="30"/>
      <c r="BQ19" s="59" t="s">
        <v>42</v>
      </c>
      <c r="BR19" s="57">
        <f>0.044*BR5*BR5*BR5*BR10/BR13/1000</f>
        <v>3.7230769230769223</v>
      </c>
      <c r="BS19" s="58" t="s">
        <v>43</v>
      </c>
    </row>
    <row r="20" spans="1:71" ht="9" customHeight="1">
      <c r="A20" s="24"/>
      <c r="B20" s="25"/>
      <c r="C20" s="26"/>
      <c r="D20" s="27"/>
      <c r="E20" s="27"/>
      <c r="F20" s="27"/>
      <c r="G20" s="27"/>
      <c r="H20" s="26"/>
      <c r="I20" s="27"/>
      <c r="J20" s="27"/>
      <c r="K20" s="27"/>
      <c r="L20" s="27"/>
      <c r="M20" s="26"/>
      <c r="N20" s="27"/>
      <c r="O20" s="27"/>
      <c r="P20" s="27"/>
      <c r="Q20" s="27"/>
      <c r="R20" s="26"/>
      <c r="S20" s="52"/>
      <c r="T20" s="52"/>
      <c r="U20" s="52"/>
      <c r="V20" s="52"/>
      <c r="W20" s="51"/>
      <c r="X20" s="27"/>
      <c r="Y20" s="27"/>
      <c r="Z20" s="27"/>
      <c r="AA20" s="27"/>
      <c r="AB20" s="26"/>
      <c r="AC20" s="27"/>
      <c r="AD20" s="27"/>
      <c r="AE20" s="27"/>
      <c r="AF20" s="27"/>
      <c r="AG20" s="26"/>
      <c r="AH20" s="27"/>
      <c r="AI20" s="27"/>
      <c r="AJ20" s="27"/>
      <c r="AK20" s="27"/>
      <c r="AL20" s="26"/>
      <c r="AM20" s="27"/>
      <c r="AN20" s="27"/>
      <c r="AO20" s="27"/>
      <c r="AP20" s="60"/>
      <c r="AQ20" s="14"/>
      <c r="AU20" s="61"/>
      <c r="BA20" s="26"/>
      <c r="BB20" s="27"/>
      <c r="BC20" s="36"/>
      <c r="BD20" s="44" t="s">
        <v>44</v>
      </c>
      <c r="BE20" s="62">
        <v>400</v>
      </c>
      <c r="BF20" s="10" t="s">
        <v>32</v>
      </c>
      <c r="BG20" s="42">
        <f>BE20*0.9</f>
        <v>360</v>
      </c>
      <c r="BH20" s="10" t="s">
        <v>32</v>
      </c>
      <c r="BI20" s="63">
        <v>22.2</v>
      </c>
      <c r="BJ20" s="4" t="s">
        <v>2</v>
      </c>
      <c r="BK20" s="48">
        <f t="shared" si="0"/>
        <v>7992</v>
      </c>
      <c r="BL20" s="64">
        <f>-18.8-BR6/10-1.25</f>
        <v>-23.650000000000002</v>
      </c>
      <c r="BM20" s="4" t="s">
        <v>2</v>
      </c>
      <c r="BN20" s="5">
        <f t="shared" si="1"/>
        <v>-8514</v>
      </c>
      <c r="BO20" s="4"/>
      <c r="BP20" s="30"/>
      <c r="BQ20" s="31" t="s">
        <v>45</v>
      </c>
      <c r="BR20" s="57">
        <f>-BL23</f>
        <v>9.815189873417722</v>
      </c>
      <c r="BS20" s="58" t="s">
        <v>46</v>
      </c>
    </row>
    <row r="21" spans="1:71" ht="9" customHeight="1">
      <c r="A21" s="1"/>
      <c r="B21" s="13"/>
      <c r="C21" s="14"/>
      <c r="H21" s="14"/>
      <c r="M21" s="14"/>
      <c r="R21" s="14"/>
      <c r="S21" s="40"/>
      <c r="T21" s="40"/>
      <c r="U21" s="40"/>
      <c r="V21" s="40"/>
      <c r="W21" s="39"/>
      <c r="AB21" s="14"/>
      <c r="AG21" s="14"/>
      <c r="AL21" s="14"/>
      <c r="AP21" s="65"/>
      <c r="AQ21" s="66"/>
      <c r="AR21" s="66"/>
      <c r="AS21" s="66"/>
      <c r="AT21" s="66"/>
      <c r="AU21" s="65"/>
      <c r="AV21" s="66"/>
      <c r="AW21" s="66"/>
      <c r="AX21" s="66"/>
      <c r="AY21" s="66"/>
      <c r="AZ21" s="65"/>
      <c r="BC21" s="5"/>
      <c r="BD21" s="44" t="s">
        <v>47</v>
      </c>
      <c r="BE21" s="45">
        <v>25</v>
      </c>
      <c r="BF21" s="10" t="s">
        <v>32</v>
      </c>
      <c r="BG21" s="42">
        <f>BE21</f>
        <v>25</v>
      </c>
      <c r="BH21" s="10" t="s">
        <v>32</v>
      </c>
      <c r="BI21" s="47">
        <v>27</v>
      </c>
      <c r="BJ21" s="4" t="s">
        <v>2</v>
      </c>
      <c r="BK21" s="48">
        <f t="shared" si="0"/>
        <v>675</v>
      </c>
      <c r="BL21" s="47">
        <v>30</v>
      </c>
      <c r="BM21" s="4" t="s">
        <v>2</v>
      </c>
      <c r="BN21" s="5">
        <f t="shared" si="1"/>
        <v>750</v>
      </c>
      <c r="BO21" s="4"/>
      <c r="BP21" s="30"/>
      <c r="BQ21" s="31" t="s">
        <v>48</v>
      </c>
      <c r="BR21" s="57">
        <f>SUM(BR18:BR20)</f>
        <v>12.338266796494644</v>
      </c>
      <c r="BS21" s="58" t="s">
        <v>49</v>
      </c>
    </row>
    <row r="22" spans="1:71" ht="9" customHeight="1">
      <c r="A22" s="1"/>
      <c r="B22" s="13"/>
      <c r="C22" s="14"/>
      <c r="H22" s="14"/>
      <c r="M22" s="14"/>
      <c r="R22" s="14"/>
      <c r="S22" s="40"/>
      <c r="T22" s="40"/>
      <c r="U22" s="40"/>
      <c r="V22" s="40"/>
      <c r="W22" s="39"/>
      <c r="AB22" s="14"/>
      <c r="AG22" s="14"/>
      <c r="AL22" s="14"/>
      <c r="AP22" s="61"/>
      <c r="AU22" s="61"/>
      <c r="AZ22" s="61"/>
      <c r="BC22" s="5"/>
      <c r="BD22" s="67"/>
      <c r="BE22" s="10"/>
      <c r="BF22" s="10"/>
      <c r="BG22" s="4"/>
      <c r="BH22" s="10"/>
      <c r="BI22" s="47"/>
      <c r="BJ22" s="4"/>
      <c r="BK22" s="46"/>
      <c r="BL22" s="47"/>
      <c r="BM22" s="4"/>
      <c r="BN22" s="4"/>
      <c r="BO22" s="4"/>
      <c r="BP22" s="30"/>
      <c r="BQ22" s="31"/>
      <c r="BS22" s="11"/>
    </row>
    <row r="23" spans="1:71" ht="9" customHeight="1">
      <c r="A23" s="1"/>
      <c r="B23" s="13"/>
      <c r="C23" s="14"/>
      <c r="H23" s="14"/>
      <c r="M23" s="14"/>
      <c r="R23" s="14"/>
      <c r="S23" s="40"/>
      <c r="T23" s="40"/>
      <c r="U23" s="40"/>
      <c r="V23" s="40"/>
      <c r="W23" s="39"/>
      <c r="AB23" s="14"/>
      <c r="AG23" s="14"/>
      <c r="AL23" s="14"/>
      <c r="AP23" s="61"/>
      <c r="AU23" s="61"/>
      <c r="AZ23" s="61"/>
      <c r="BC23" s="5"/>
      <c r="BD23" s="53" t="s">
        <v>50</v>
      </c>
      <c r="BE23" s="45">
        <f>SUM(BE14:BE21)</f>
        <v>830</v>
      </c>
      <c r="BF23" s="10" t="s">
        <v>32</v>
      </c>
      <c r="BG23" s="45">
        <f>SUM(BG14:BG21)</f>
        <v>790</v>
      </c>
      <c r="BH23" s="10" t="s">
        <v>32</v>
      </c>
      <c r="BI23" s="68">
        <f>BK23/BG23</f>
        <v>23.303164556962024</v>
      </c>
      <c r="BJ23" s="20" t="s">
        <v>2</v>
      </c>
      <c r="BK23" s="46">
        <f>SUM(BK14:BK21)</f>
        <v>18409.5</v>
      </c>
      <c r="BL23" s="68">
        <f>BN23/BG23</f>
        <v>-9.815189873417722</v>
      </c>
      <c r="BM23" s="20" t="s">
        <v>2</v>
      </c>
      <c r="BN23" s="46">
        <f>SUM(BN14:BN21)</f>
        <v>-7754</v>
      </c>
      <c r="BO23" s="4"/>
      <c r="BP23" s="30"/>
      <c r="BQ23" s="31" t="s">
        <v>51</v>
      </c>
      <c r="BR23" s="69">
        <f>BR21*BR13</f>
        <v>9704.046835443038</v>
      </c>
      <c r="BS23" s="70" t="s">
        <v>52</v>
      </c>
    </row>
    <row r="24" spans="1:67" ht="9" customHeight="1">
      <c r="A24" s="1"/>
      <c r="B24" s="13"/>
      <c r="C24" s="14"/>
      <c r="H24" s="14"/>
      <c r="M24" s="14"/>
      <c r="R24" s="14"/>
      <c r="S24" s="40"/>
      <c r="T24" s="40"/>
      <c r="U24" s="40"/>
      <c r="V24" s="40"/>
      <c r="W24" s="39"/>
      <c r="AB24" s="14"/>
      <c r="AG24" s="14"/>
      <c r="AL24" s="14"/>
      <c r="AP24" s="61"/>
      <c r="AU24" s="61"/>
      <c r="AZ24" s="61"/>
      <c r="BC24" s="5"/>
      <c r="BF24" s="9"/>
      <c r="BG24" s="4"/>
      <c r="BH24" s="10"/>
      <c r="BI24" s="71"/>
      <c r="BJ24" s="72"/>
      <c r="BK24" s="4"/>
      <c r="BL24" s="71"/>
      <c r="BM24" s="72"/>
      <c r="BN24" s="4"/>
      <c r="BO24" s="4"/>
    </row>
    <row r="25" spans="1:71" ht="9" customHeight="1">
      <c r="A25" s="24"/>
      <c r="B25" s="25"/>
      <c r="C25" s="26"/>
      <c r="D25" s="27"/>
      <c r="E25" s="27"/>
      <c r="F25" s="27"/>
      <c r="G25" s="27"/>
      <c r="H25" s="26"/>
      <c r="I25" s="27"/>
      <c r="J25" s="27"/>
      <c r="K25" s="27"/>
      <c r="L25" s="27"/>
      <c r="M25" s="26"/>
      <c r="N25" s="27"/>
      <c r="O25" s="27"/>
      <c r="P25" s="27"/>
      <c r="Q25" s="27"/>
      <c r="R25" s="26"/>
      <c r="S25" s="52"/>
      <c r="T25" s="52"/>
      <c r="U25" s="52"/>
      <c r="V25" s="52"/>
      <c r="W25" s="51"/>
      <c r="X25" s="27"/>
      <c r="Y25" s="27"/>
      <c r="Z25" s="27"/>
      <c r="AA25" s="27"/>
      <c r="AB25" s="26"/>
      <c r="AC25" s="27"/>
      <c r="AD25" s="27"/>
      <c r="AE25" s="27"/>
      <c r="AF25" s="27"/>
      <c r="AG25" s="26"/>
      <c r="AH25" s="27"/>
      <c r="AI25" s="27"/>
      <c r="AJ25" s="27"/>
      <c r="AK25" s="27"/>
      <c r="AL25" s="26"/>
      <c r="AM25" s="27"/>
      <c r="AN25" s="27"/>
      <c r="AO25" s="27"/>
      <c r="AP25" s="60"/>
      <c r="AQ25" s="27"/>
      <c r="AR25" s="127"/>
      <c r="AS25" s="127"/>
      <c r="AT25" s="73"/>
      <c r="AU25" s="60"/>
      <c r="AV25" s="27"/>
      <c r="AW25" s="27"/>
      <c r="AX25" s="27"/>
      <c r="AY25" s="27"/>
      <c r="AZ25" s="60"/>
      <c r="BA25" s="27"/>
      <c r="BB25" s="27"/>
      <c r="BC25" s="5"/>
      <c r="BD25" s="4"/>
      <c r="BE25" s="5"/>
      <c r="BF25" s="9"/>
      <c r="BG25" s="4"/>
      <c r="BH25" s="10"/>
      <c r="BK25" s="4"/>
      <c r="BN25" s="4"/>
      <c r="BO25" s="4"/>
      <c r="BP25" s="19" t="s">
        <v>53</v>
      </c>
      <c r="BQ25" s="74" t="s">
        <v>54</v>
      </c>
      <c r="BR25" s="75">
        <v>16.4</v>
      </c>
      <c r="BS25" s="20" t="s">
        <v>55</v>
      </c>
    </row>
    <row r="26" spans="1:71" ht="9" customHeight="1">
      <c r="A26" s="1"/>
      <c r="B26" s="13"/>
      <c r="C26" s="14"/>
      <c r="H26" s="14"/>
      <c r="M26" s="14"/>
      <c r="R26" s="14"/>
      <c r="S26" s="40"/>
      <c r="T26" s="40"/>
      <c r="U26" s="40"/>
      <c r="V26" s="40"/>
      <c r="W26" s="39"/>
      <c r="AB26" s="14"/>
      <c r="AG26" s="76"/>
      <c r="AH26" s="66"/>
      <c r="AI26" s="66"/>
      <c r="AJ26" s="66"/>
      <c r="AK26" s="66"/>
      <c r="AL26" s="14"/>
      <c r="AZ26" s="61"/>
      <c r="BC26" s="5"/>
      <c r="BD26" s="4"/>
      <c r="BE26" s="4"/>
      <c r="BF26" s="9"/>
      <c r="BG26" s="4"/>
      <c r="BH26" s="10"/>
      <c r="BP26" s="11"/>
      <c r="BQ26" s="55" t="s">
        <v>56</v>
      </c>
      <c r="BR26" s="77">
        <v>75</v>
      </c>
      <c r="BS26" s="78" t="s">
        <v>2</v>
      </c>
    </row>
    <row r="27" spans="1:71" ht="9" customHeight="1">
      <c r="A27" s="1"/>
      <c r="B27" s="13"/>
      <c r="C27" s="14"/>
      <c r="H27" s="14"/>
      <c r="M27" s="14"/>
      <c r="R27" s="14"/>
      <c r="S27" s="40"/>
      <c r="T27" s="40"/>
      <c r="U27" s="40"/>
      <c r="V27" s="40"/>
      <c r="W27" s="39"/>
      <c r="AB27" s="14"/>
      <c r="AG27" s="14"/>
      <c r="AL27" s="14"/>
      <c r="AZ27" s="61"/>
      <c r="BC27" s="5"/>
      <c r="BD27" s="22" t="s">
        <v>120</v>
      </c>
      <c r="BE27" s="4"/>
      <c r="BF27" s="9"/>
      <c r="BG27" s="4"/>
      <c r="BH27" s="10"/>
      <c r="BP27" s="79"/>
      <c r="BQ27" s="74"/>
      <c r="BR27" s="75"/>
      <c r="BS27" s="20"/>
    </row>
    <row r="28" spans="1:71" ht="9" customHeight="1">
      <c r="A28" s="1"/>
      <c r="B28" s="13"/>
      <c r="C28" s="14"/>
      <c r="H28" s="14"/>
      <c r="M28" s="14"/>
      <c r="R28" s="14"/>
      <c r="W28" s="14"/>
      <c r="AB28" s="14"/>
      <c r="AG28" s="14"/>
      <c r="AL28" s="14"/>
      <c r="AO28" s="59" t="s">
        <v>57</v>
      </c>
      <c r="AP28" s="128">
        <v>50</v>
      </c>
      <c r="AQ28" s="128"/>
      <c r="AR28" s="7" t="s">
        <v>2</v>
      </c>
      <c r="AS28" s="15"/>
      <c r="AT28" s="129" t="s">
        <v>119</v>
      </c>
      <c r="AU28" s="130"/>
      <c r="AV28" s="130"/>
      <c r="AW28" s="130"/>
      <c r="AX28" s="130"/>
      <c r="AY28" s="130"/>
      <c r="AZ28" s="61"/>
      <c r="BC28" s="5"/>
      <c r="BD28" s="4"/>
      <c r="BE28" s="4"/>
      <c r="BF28" s="9"/>
      <c r="BG28" s="4"/>
      <c r="BH28" s="10"/>
      <c r="BP28" s="80"/>
      <c r="BQ28" s="31" t="s">
        <v>58</v>
      </c>
      <c r="BR28" s="81">
        <f>(BR23*0.5/BR25/(-BL20/2+BR3/10+BR26*0.4))^0.5</f>
        <v>2.5835397502661936</v>
      </c>
      <c r="BS28" s="11" t="s">
        <v>59</v>
      </c>
    </row>
    <row r="29" spans="1:60" ht="9" customHeight="1">
      <c r="A29" s="1"/>
      <c r="B29" s="13"/>
      <c r="C29" s="14"/>
      <c r="H29" s="14"/>
      <c r="M29" s="14"/>
      <c r="R29" s="14"/>
      <c r="W29" s="14"/>
      <c r="AB29" s="14"/>
      <c r="AG29" s="14"/>
      <c r="AL29" s="14"/>
      <c r="AO29" s="59" t="s">
        <v>21</v>
      </c>
      <c r="AP29" s="128">
        <v>50</v>
      </c>
      <c r="AQ29" s="128"/>
      <c r="AR29" s="7" t="s">
        <v>2</v>
      </c>
      <c r="AT29" s="130"/>
      <c r="AU29" s="130"/>
      <c r="AV29" s="130"/>
      <c r="AW29" s="130"/>
      <c r="AX29" s="130"/>
      <c r="AY29" s="130"/>
      <c r="AZ29" s="61"/>
      <c r="BC29" s="5"/>
      <c r="BD29" s="4"/>
      <c r="BE29" s="4"/>
      <c r="BF29" s="9"/>
      <c r="BG29" s="4"/>
      <c r="BH29" s="10"/>
    </row>
    <row r="30" spans="1:69" ht="9" customHeight="1">
      <c r="A30" s="24"/>
      <c r="B30" s="25"/>
      <c r="C30" s="26"/>
      <c r="D30" s="27"/>
      <c r="E30" s="27"/>
      <c r="F30" s="27"/>
      <c r="G30" s="27"/>
      <c r="H30" s="26"/>
      <c r="I30" s="27"/>
      <c r="J30" s="27"/>
      <c r="K30" s="27"/>
      <c r="L30" s="27"/>
      <c r="M30" s="26"/>
      <c r="N30" s="27"/>
      <c r="O30" s="27"/>
      <c r="P30" s="27"/>
      <c r="Q30" s="27"/>
      <c r="R30" s="26"/>
      <c r="S30" s="27"/>
      <c r="T30" s="27"/>
      <c r="U30" s="27"/>
      <c r="V30" s="27"/>
      <c r="W30" s="26"/>
      <c r="X30" s="27"/>
      <c r="Y30" s="27"/>
      <c r="Z30" s="27"/>
      <c r="AA30" s="27"/>
      <c r="AB30" s="26"/>
      <c r="AC30" s="27"/>
      <c r="AD30" s="27"/>
      <c r="AE30" s="27"/>
      <c r="AF30" s="27"/>
      <c r="AG30" s="26"/>
      <c r="AH30" s="27"/>
      <c r="AI30" s="27"/>
      <c r="AJ30" s="27"/>
      <c r="AK30" s="27"/>
      <c r="AL30" s="26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60"/>
      <c r="BA30" s="27"/>
      <c r="BB30" s="27"/>
      <c r="BC30" s="5"/>
      <c r="BD30" s="4"/>
      <c r="BE30" s="4"/>
      <c r="BF30" s="9"/>
      <c r="BG30" s="4"/>
      <c r="BH30" s="10"/>
      <c r="BP30" s="57">
        <f>30/75</f>
        <v>0.4</v>
      </c>
      <c r="BQ30" s="57"/>
    </row>
    <row r="31" spans="1:60" ht="9" customHeight="1">
      <c r="A31" s="1"/>
      <c r="B31" s="13"/>
      <c r="C31" s="14"/>
      <c r="H31" s="14"/>
      <c r="M31" s="14"/>
      <c r="R31" s="14"/>
      <c r="W31" s="14"/>
      <c r="AB31" s="14"/>
      <c r="AG31" s="14"/>
      <c r="AL31" s="14"/>
      <c r="AQ31" s="14"/>
      <c r="AV31" s="14"/>
      <c r="BA31" s="14"/>
      <c r="BC31" s="5"/>
      <c r="BD31" s="4"/>
      <c r="BE31" s="4"/>
      <c r="BF31" s="9"/>
      <c r="BG31" s="4"/>
      <c r="BH31" s="10"/>
    </row>
    <row r="32" spans="1:68" ht="9" customHeight="1">
      <c r="A32" s="1"/>
      <c r="B32" s="13"/>
      <c r="C32" s="14"/>
      <c r="H32" s="14"/>
      <c r="M32" s="14"/>
      <c r="R32" s="14"/>
      <c r="S32" s="40"/>
      <c r="T32" s="40"/>
      <c r="U32" s="40"/>
      <c r="V32" s="40"/>
      <c r="W32" s="39"/>
      <c r="AB32" s="14"/>
      <c r="AG32" s="14"/>
      <c r="AL32" s="14"/>
      <c r="AQ32" s="14"/>
      <c r="AV32" s="14"/>
      <c r="BA32" s="14"/>
      <c r="BC32" s="5"/>
      <c r="BD32" s="4"/>
      <c r="BE32" s="4"/>
      <c r="BF32" s="9"/>
      <c r="BG32" s="4"/>
      <c r="BH32" s="10"/>
      <c r="BP32" s="82"/>
    </row>
    <row r="33" spans="1:60" ht="4.5" customHeight="1">
      <c r="A33" s="1"/>
      <c r="B33" s="13"/>
      <c r="C33" s="14"/>
      <c r="H33" s="14"/>
      <c r="M33" s="14"/>
      <c r="R33" s="14"/>
      <c r="W33" s="14"/>
      <c r="AB33" s="14"/>
      <c r="AG33" s="14"/>
      <c r="AL33" s="14"/>
      <c r="AQ33" s="14"/>
      <c r="AV33" s="14"/>
      <c r="BA33" s="14"/>
      <c r="BC33" s="5"/>
      <c r="BD33" s="4"/>
      <c r="BE33" s="4"/>
      <c r="BF33" s="9"/>
      <c r="BG33" s="4"/>
      <c r="BH33" s="10"/>
    </row>
    <row r="44" spans="68:69" ht="12.75">
      <c r="BP44" s="86"/>
      <c r="BQ44" s="87"/>
    </row>
    <row r="46" spans="68:70" ht="12.75">
      <c r="BP46" s="88"/>
      <c r="BR46" s="89"/>
    </row>
    <row r="47" spans="68:70" ht="12.75">
      <c r="BP47" s="90"/>
      <c r="BQ47" s="91"/>
      <c r="BR47" s="90"/>
    </row>
    <row r="48" spans="68:70" ht="12.75">
      <c r="BP48" s="88"/>
      <c r="BR48" s="89"/>
    </row>
    <row r="49" spans="68:70" ht="12.75">
      <c r="BP49" s="90"/>
      <c r="BQ49" s="91"/>
      <c r="BR49" s="92"/>
    </row>
    <row r="50" ht="12.75">
      <c r="BP50" s="57"/>
    </row>
    <row r="55" ht="12.75">
      <c r="BQ55" s="93"/>
    </row>
    <row r="56" ht="12.75">
      <c r="BQ56" s="94"/>
    </row>
    <row r="57" ht="12.75">
      <c r="BQ57" s="93"/>
    </row>
    <row r="59" ht="12.75">
      <c r="BP59" s="95"/>
    </row>
    <row r="62" ht="12.75">
      <c r="BQ62" s="93"/>
    </row>
    <row r="65" ht="12.75">
      <c r="BP65" s="81"/>
    </row>
    <row r="73" ht="12.75">
      <c r="BQ73" s="19"/>
    </row>
    <row r="74" ht="12.75">
      <c r="BQ74" s="96"/>
    </row>
    <row r="75" spans="68:69" ht="12.75">
      <c r="BP75" s="97"/>
      <c r="BQ75" s="96"/>
    </row>
    <row r="76" ht="12.75">
      <c r="BQ76" s="19"/>
    </row>
    <row r="78" spans="69:70" ht="12.75">
      <c r="BQ78" s="96"/>
      <c r="BR78" s="82"/>
    </row>
    <row r="79" spans="69:70" ht="12.75">
      <c r="BQ79" s="19"/>
      <c r="BR79" s="82"/>
    </row>
    <row r="80" spans="69:70" ht="12.75">
      <c r="BQ80" s="19"/>
      <c r="BR80" s="82"/>
    </row>
    <row r="81" spans="69:70" ht="12.75">
      <c r="BQ81" s="19"/>
      <c r="BR81" s="82"/>
    </row>
    <row r="84" ht="12.75">
      <c r="BQ84" s="57"/>
    </row>
    <row r="88" ht="12.75">
      <c r="BQ88" s="98"/>
    </row>
  </sheetData>
  <mergeCells count="4">
    <mergeCell ref="AR25:AS25"/>
    <mergeCell ref="AP28:AQ28"/>
    <mergeCell ref="AT28:AY29"/>
    <mergeCell ref="AP29:AQ29"/>
  </mergeCells>
  <printOptions verticalCentered="1"/>
  <pageMargins left="0.4330708661417323" right="0.4724409448818898" top="1.1023622047244095" bottom="0.984251968503937" header="0.5118110236220472" footer="0.5118110236220472"/>
  <pageSetup fitToWidth="2" horizontalDpi="600" verticalDpi="600" orientation="landscape" paperSize="9" scale="150" r:id="rId2"/>
  <headerFooter alignWithMargins="0">
    <oddFooter xml:space="preserve">&amp;L&amp;7&amp;F - &amp;A&amp;R&amp;7Pascal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45"/>
  <sheetViews>
    <sheetView workbookViewId="0" topLeftCell="G19">
      <selection activeCell="L36" sqref="L36"/>
    </sheetView>
  </sheetViews>
  <sheetFormatPr defaultColWidth="9.140625" defaultRowHeight="12.75"/>
  <cols>
    <col min="1" max="1" width="2.7109375" style="0" customWidth="1"/>
    <col min="2" max="2" width="3.28125" style="72" customWidth="1"/>
    <col min="3" max="3" width="12.28125" style="0" customWidth="1"/>
    <col min="4" max="4" width="7.140625" style="0" customWidth="1"/>
    <col min="5" max="5" width="4.00390625" style="0" customWidth="1"/>
    <col min="6" max="6" width="16.28125" style="0" bestFit="1" customWidth="1"/>
    <col min="7" max="8" width="3.140625" style="0" customWidth="1"/>
    <col min="9" max="11" width="5.7109375" style="0" customWidth="1"/>
    <col min="14" max="14" width="13.140625" style="104" customWidth="1"/>
    <col min="16" max="16" width="5.7109375" style="0" customWidth="1"/>
    <col min="17" max="17" width="11.8515625" style="0" customWidth="1"/>
    <col min="18" max="18" width="8.421875" style="0" customWidth="1"/>
  </cols>
  <sheetData>
    <row r="2" spans="2:17" s="99" customFormat="1" ht="15.75">
      <c r="B2" s="100" t="s">
        <v>60</v>
      </c>
      <c r="D2" s="72" t="s">
        <v>61</v>
      </c>
      <c r="G2" s="101"/>
      <c r="N2" s="102"/>
      <c r="O2"/>
      <c r="P2" s="103"/>
      <c r="Q2" s="72"/>
    </row>
    <row r="3" spans="2:17" ht="18.75" customHeight="1">
      <c r="B3" s="72" t="s">
        <v>62</v>
      </c>
      <c r="G3" s="61"/>
      <c r="Q3" s="72"/>
    </row>
    <row r="4" spans="3:17" ht="12.75">
      <c r="C4" s="104" t="s">
        <v>57</v>
      </c>
      <c r="D4" s="72">
        <v>50</v>
      </c>
      <c r="E4" s="72" t="s">
        <v>2</v>
      </c>
      <c r="G4" s="61"/>
      <c r="Q4" s="72"/>
    </row>
    <row r="5" spans="3:17" ht="12.75">
      <c r="C5" s="104" t="s">
        <v>63</v>
      </c>
      <c r="D5" s="72">
        <v>18</v>
      </c>
      <c r="E5" s="72" t="s">
        <v>2</v>
      </c>
      <c r="F5" t="s">
        <v>64</v>
      </c>
      <c r="G5" s="61"/>
      <c r="J5" s="105"/>
      <c r="Q5" s="72"/>
    </row>
    <row r="6" spans="3:17" ht="12.75">
      <c r="C6" s="104" t="s">
        <v>65</v>
      </c>
      <c r="D6" s="72">
        <v>75</v>
      </c>
      <c r="E6" s="72" t="s">
        <v>2</v>
      </c>
      <c r="F6" t="s">
        <v>66</v>
      </c>
      <c r="G6" s="61"/>
      <c r="Q6" s="72"/>
    </row>
    <row r="7" spans="3:10" ht="12.75">
      <c r="C7" s="104" t="s">
        <v>67</v>
      </c>
      <c r="D7" s="72">
        <v>2</v>
      </c>
      <c r="E7" s="72" t="s">
        <v>2</v>
      </c>
      <c r="F7" t="s">
        <v>68</v>
      </c>
      <c r="G7" s="61"/>
      <c r="J7" s="106"/>
    </row>
    <row r="8" spans="2:17" ht="18.75" customHeight="1">
      <c r="B8" s="72" t="s">
        <v>69</v>
      </c>
      <c r="C8" s="104"/>
      <c r="D8" s="72"/>
      <c r="E8" s="72"/>
      <c r="G8" s="61"/>
      <c r="Q8" s="72"/>
    </row>
    <row r="9" spans="3:17" ht="12.75">
      <c r="C9" s="104" t="s">
        <v>70</v>
      </c>
      <c r="D9" s="72">
        <v>45</v>
      </c>
      <c r="E9" s="72" t="s">
        <v>2</v>
      </c>
      <c r="G9" s="61"/>
      <c r="Q9" s="72"/>
    </row>
    <row r="10" spans="3:7" ht="12.75">
      <c r="C10" s="104" t="s">
        <v>71</v>
      </c>
      <c r="D10" s="72">
        <v>25</v>
      </c>
      <c r="E10" s="72" t="s">
        <v>2</v>
      </c>
      <c r="G10" s="61"/>
    </row>
    <row r="11" spans="5:9" ht="15.75">
      <c r="E11" s="72"/>
      <c r="G11" s="61"/>
      <c r="I11" s="100" t="s">
        <v>72</v>
      </c>
    </row>
    <row r="12" spans="5:7" ht="12.75">
      <c r="E12" s="72"/>
      <c r="G12" s="61"/>
    </row>
    <row r="13" spans="2:7" ht="12.75">
      <c r="B13" s="72" t="s">
        <v>73</v>
      </c>
      <c r="E13" s="72"/>
      <c r="G13" s="61"/>
    </row>
    <row r="14" spans="5:13" ht="12.75">
      <c r="E14" s="72"/>
      <c r="G14" s="61"/>
      <c r="I14" s="104" t="s">
        <v>74</v>
      </c>
      <c r="J14" s="104" t="s">
        <v>75</v>
      </c>
      <c r="K14" s="104" t="s">
        <v>76</v>
      </c>
      <c r="L14" s="104" t="s">
        <v>77</v>
      </c>
      <c r="M14" s="104" t="s">
        <v>78</v>
      </c>
    </row>
    <row r="15" spans="3:13" ht="12.75">
      <c r="C15" t="s">
        <v>79</v>
      </c>
      <c r="D15" s="72">
        <v>72</v>
      </c>
      <c r="E15" s="72" t="s">
        <v>2</v>
      </c>
      <c r="G15" s="61"/>
      <c r="I15" s="104"/>
      <c r="J15" s="104"/>
      <c r="K15" s="104"/>
      <c r="L15" s="104"/>
      <c r="M15" s="104"/>
    </row>
    <row r="16" spans="3:18" ht="18.75" customHeight="1">
      <c r="C16" t="s">
        <v>80</v>
      </c>
      <c r="D16" s="72">
        <v>2</v>
      </c>
      <c r="E16" s="72" t="s">
        <v>2</v>
      </c>
      <c r="F16" t="s">
        <v>81</v>
      </c>
      <c r="G16" s="61"/>
      <c r="I16">
        <v>1</v>
      </c>
      <c r="J16">
        <f>I16*D16</f>
        <v>2</v>
      </c>
      <c r="K16">
        <f>D6</f>
        <v>75</v>
      </c>
      <c r="L16">
        <f>K16*J16</f>
        <v>150</v>
      </c>
      <c r="M16">
        <f>J16*D16/2</f>
        <v>2</v>
      </c>
      <c r="N16" s="107" t="s">
        <v>82</v>
      </c>
      <c r="O16" s="108">
        <f>J21*D15/I21/100</f>
        <v>12.084000000000001</v>
      </c>
      <c r="P16" s="109" t="s">
        <v>55</v>
      </c>
      <c r="Q16" s="110">
        <f>O16/(D15*D20)*100</f>
        <v>0.6993055555555556</v>
      </c>
      <c r="R16" t="s">
        <v>83</v>
      </c>
    </row>
    <row r="17" spans="3:13" ht="12.75">
      <c r="C17" t="s">
        <v>84</v>
      </c>
      <c r="D17" s="72">
        <v>12.7</v>
      </c>
      <c r="E17" s="72" t="s">
        <v>2</v>
      </c>
      <c r="G17" s="61"/>
      <c r="I17">
        <v>4</v>
      </c>
      <c r="J17">
        <f>I17*D17</f>
        <v>50.8</v>
      </c>
      <c r="K17">
        <f>K16-D$15/4</f>
        <v>57</v>
      </c>
      <c r="L17">
        <f>K17*J17</f>
        <v>2895.6</v>
      </c>
      <c r="M17">
        <f>J17*D17/2</f>
        <v>322.58</v>
      </c>
    </row>
    <row r="18" spans="3:17" ht="12.75">
      <c r="C18" t="s">
        <v>85</v>
      </c>
      <c r="D18" s="72">
        <v>18.3</v>
      </c>
      <c r="E18" s="72" t="s">
        <v>2</v>
      </c>
      <c r="G18" s="61"/>
      <c r="I18">
        <v>2</v>
      </c>
      <c r="J18">
        <f>I18*D18</f>
        <v>36.6</v>
      </c>
      <c r="K18">
        <f>K17-D$15/4</f>
        <v>39</v>
      </c>
      <c r="L18">
        <f>K18*J18</f>
        <v>1427.4</v>
      </c>
      <c r="M18">
        <f>J18*D18/2</f>
        <v>334.89000000000004</v>
      </c>
      <c r="N18" s="107" t="s">
        <v>86</v>
      </c>
      <c r="O18" s="108">
        <f>L21/J21</f>
        <v>31.74280039721946</v>
      </c>
      <c r="P18" s="108" t="s">
        <v>87</v>
      </c>
      <c r="Q18" t="s">
        <v>66</v>
      </c>
    </row>
    <row r="19" spans="3:17" ht="12.75">
      <c r="C19" t="s">
        <v>88</v>
      </c>
      <c r="D19" s="72">
        <v>22</v>
      </c>
      <c r="E19" s="72" t="s">
        <v>2</v>
      </c>
      <c r="G19" s="61"/>
      <c r="I19">
        <v>4</v>
      </c>
      <c r="J19">
        <f>I19*D19</f>
        <v>88</v>
      </c>
      <c r="K19">
        <f>K18-D$15/4</f>
        <v>21</v>
      </c>
      <c r="L19">
        <f>K19*J19</f>
        <v>1848</v>
      </c>
      <c r="M19">
        <f>J19*D19/2</f>
        <v>968</v>
      </c>
      <c r="N19" s="107" t="s">
        <v>89</v>
      </c>
      <c r="O19" s="108">
        <f>R20+D7*O18/D6</f>
        <v>10.357249255213507</v>
      </c>
      <c r="P19" s="108" t="s">
        <v>87</v>
      </c>
      <c r="Q19" t="s">
        <v>90</v>
      </c>
    </row>
    <row r="20" spans="3:18" ht="12.75">
      <c r="C20" t="s">
        <v>91</v>
      </c>
      <c r="D20" s="72">
        <v>24</v>
      </c>
      <c r="E20" s="72" t="s">
        <v>2</v>
      </c>
      <c r="F20" t="s">
        <v>92</v>
      </c>
      <c r="G20" s="61"/>
      <c r="I20">
        <v>1</v>
      </c>
      <c r="J20">
        <f>I20*D20</f>
        <v>24</v>
      </c>
      <c r="K20">
        <f>K19-D$15/4</f>
        <v>3</v>
      </c>
      <c r="L20">
        <f>K20*J20</f>
        <v>72</v>
      </c>
      <c r="M20">
        <f>J20*D20/2</f>
        <v>288</v>
      </c>
      <c r="N20" s="111" t="s">
        <v>93</v>
      </c>
      <c r="Q20" s="112" t="s">
        <v>89</v>
      </c>
      <c r="R20" s="113">
        <f>M21/J21</f>
        <v>9.51077457795432</v>
      </c>
    </row>
    <row r="21" spans="7:18" s="72" customFormat="1" ht="18.75" customHeight="1">
      <c r="G21" s="114"/>
      <c r="I21" s="72">
        <f>SUM(I16:I20)</f>
        <v>12</v>
      </c>
      <c r="J21" s="72">
        <f>SUM(J16:J20)</f>
        <v>201.4</v>
      </c>
      <c r="L21" s="72">
        <f>SUM(L16:L20)</f>
        <v>6393</v>
      </c>
      <c r="M21" s="72">
        <f>SUM(M16:M20)</f>
        <v>1915.47</v>
      </c>
      <c r="N21" s="112"/>
      <c r="O21"/>
      <c r="P21"/>
      <c r="Q21" t="s">
        <v>94</v>
      </c>
      <c r="R21"/>
    </row>
    <row r="22" spans="2:7" ht="12.75">
      <c r="B22" s="72" t="s">
        <v>95</v>
      </c>
      <c r="G22" s="61"/>
    </row>
    <row r="23" spans="7:16" ht="12.75">
      <c r="G23" s="61"/>
      <c r="N23" s="107" t="s">
        <v>96</v>
      </c>
      <c r="O23" s="115">
        <f>K28/100</f>
        <v>4.275</v>
      </c>
      <c r="P23" s="109" t="s">
        <v>55</v>
      </c>
    </row>
    <row r="24" spans="3:12" ht="12.75">
      <c r="C24" t="s">
        <v>97</v>
      </c>
      <c r="D24" s="72">
        <v>60</v>
      </c>
      <c r="E24" s="72" t="s">
        <v>2</v>
      </c>
      <c r="G24" s="61"/>
      <c r="J24" s="104" t="s">
        <v>98</v>
      </c>
      <c r="K24" s="106">
        <f>D26*D28/(D28-D27)</f>
        <v>47.64705882352941</v>
      </c>
      <c r="L24" t="s">
        <v>2</v>
      </c>
    </row>
    <row r="25" spans="4:16" ht="12.75">
      <c r="D25" s="72">
        <v>3</v>
      </c>
      <c r="E25" s="72" t="s">
        <v>87</v>
      </c>
      <c r="F25" t="s">
        <v>66</v>
      </c>
      <c r="G25" s="61"/>
      <c r="J25" s="104"/>
      <c r="K25" s="106"/>
      <c r="N25" s="107" t="s">
        <v>99</v>
      </c>
      <c r="O25" s="108">
        <f>(M26*K26-M27*K27)/K28</f>
        <v>17.789473684210527</v>
      </c>
      <c r="P25" s="108" t="s">
        <v>2</v>
      </c>
    </row>
    <row r="26" spans="3:17" ht="12.75">
      <c r="C26" t="s">
        <v>100</v>
      </c>
      <c r="D26" s="72">
        <v>45</v>
      </c>
      <c r="E26" s="72" t="s">
        <v>2</v>
      </c>
      <c r="G26" s="61"/>
      <c r="J26" t="s">
        <v>101</v>
      </c>
      <c r="K26">
        <f>K24*D28/2</f>
        <v>428.8235294117647</v>
      </c>
      <c r="L26" s="104" t="s">
        <v>102</v>
      </c>
      <c r="M26" s="106">
        <f>(K24-D25)/3+D25</f>
        <v>17.88235294117647</v>
      </c>
      <c r="N26" s="107" t="s">
        <v>103</v>
      </c>
      <c r="O26" s="108">
        <f>R27-D7*O25/D6</f>
        <v>5.825614035087719</v>
      </c>
      <c r="P26" s="108" t="s">
        <v>87</v>
      </c>
      <c r="Q26" t="s">
        <v>104</v>
      </c>
    </row>
    <row r="27" spans="3:18" ht="12.75">
      <c r="C27" t="s">
        <v>105</v>
      </c>
      <c r="D27" s="72">
        <v>1</v>
      </c>
      <c r="E27" s="72" t="s">
        <v>2</v>
      </c>
      <c r="G27" s="61"/>
      <c r="J27" t="s">
        <v>106</v>
      </c>
      <c r="K27">
        <f>D27*(K24-D26)/2</f>
        <v>1.3235294117647065</v>
      </c>
      <c r="L27" s="104" t="s">
        <v>107</v>
      </c>
      <c r="M27" s="106">
        <f>(K24-D25)-2/3*(K24-D25-D26)+D25</f>
        <v>47.88235294117647</v>
      </c>
      <c r="N27" s="111" t="s">
        <v>93</v>
      </c>
      <c r="Q27" s="112" t="s">
        <v>108</v>
      </c>
      <c r="R27" s="116">
        <f>0.35*D28</f>
        <v>6.3</v>
      </c>
    </row>
    <row r="28" spans="3:17" ht="12.75">
      <c r="C28" t="s">
        <v>109</v>
      </c>
      <c r="D28" s="72">
        <v>18</v>
      </c>
      <c r="E28" s="72" t="s">
        <v>2</v>
      </c>
      <c r="G28" s="61"/>
      <c r="J28" t="s">
        <v>110</v>
      </c>
      <c r="K28">
        <f>K26-K27</f>
        <v>427.5</v>
      </c>
      <c r="Q28" t="s">
        <v>94</v>
      </c>
    </row>
    <row r="29" ht="12.75">
      <c r="G29" s="61"/>
    </row>
    <row r="30" spans="1:16" ht="12.75">
      <c r="A30" s="27"/>
      <c r="B30" s="117"/>
      <c r="C30" s="27"/>
      <c r="D30" s="27"/>
      <c r="E30" s="27"/>
      <c r="F30" s="27"/>
      <c r="G30" s="60"/>
      <c r="N30" s="107" t="s">
        <v>111</v>
      </c>
      <c r="O30" s="108">
        <f>O23+O16</f>
        <v>16.359</v>
      </c>
      <c r="P30" s="109" t="s">
        <v>55</v>
      </c>
    </row>
    <row r="31" spans="7:19" ht="18" customHeight="1">
      <c r="G31" s="15"/>
      <c r="H31" s="15"/>
      <c r="Q31" s="118"/>
      <c r="R31" s="106"/>
      <c r="S31" s="106"/>
    </row>
    <row r="32" spans="3:20" s="72" customFormat="1" ht="18.75" customHeight="1">
      <c r="C32" s="119"/>
      <c r="D32" s="105"/>
      <c r="E32" s="105"/>
      <c r="G32" s="120"/>
      <c r="H32" s="120"/>
      <c r="N32" s="107" t="s">
        <v>112</v>
      </c>
      <c r="O32" s="108">
        <f>(O18*O$16+O$23*O25)/O$30</f>
        <v>28.09646066385476</v>
      </c>
      <c r="P32" s="109" t="s">
        <v>87</v>
      </c>
      <c r="Q32" s="121">
        <f>O32/D6</f>
        <v>0.37461947551806346</v>
      </c>
      <c r="R32" s="105" t="s">
        <v>113</v>
      </c>
      <c r="S32" s="122"/>
      <c r="T32"/>
    </row>
    <row r="33" spans="3:17" ht="12.75">
      <c r="C33" s="119"/>
      <c r="G33" s="15"/>
      <c r="H33" s="15"/>
      <c r="I33" s="72" t="s">
        <v>114</v>
      </c>
      <c r="N33" s="107" t="s">
        <v>115</v>
      </c>
      <c r="O33" s="108">
        <f>(O19*O$16-O$23*O26)/O$30</f>
        <v>6.12827801210343</v>
      </c>
      <c r="P33" s="109" t="s">
        <v>87</v>
      </c>
      <c r="Q33" t="s">
        <v>90</v>
      </c>
    </row>
    <row r="34" spans="3:8" ht="12.75">
      <c r="C34" s="104"/>
      <c r="D34" s="106"/>
      <c r="E34" s="106"/>
      <c r="G34" s="15"/>
      <c r="H34" s="15"/>
    </row>
    <row r="35" spans="3:17" ht="12.75">
      <c r="C35" s="104"/>
      <c r="D35" s="106"/>
      <c r="E35" s="106"/>
      <c r="G35" s="15"/>
      <c r="H35" s="15"/>
      <c r="N35" s="107" t="s">
        <v>116</v>
      </c>
      <c r="O35" s="108">
        <f>D4-D5-O33</f>
        <v>25.87172198789657</v>
      </c>
      <c r="P35" s="109" t="s">
        <v>87</v>
      </c>
      <c r="Q35" t="s">
        <v>117</v>
      </c>
    </row>
    <row r="36" spans="3:16" ht="12.75">
      <c r="C36" s="104"/>
      <c r="G36" s="15"/>
      <c r="H36" s="15"/>
      <c r="O36" s="123">
        <f>O35/D4</f>
        <v>0.5174344397579315</v>
      </c>
      <c r="P36" s="109" t="s">
        <v>118</v>
      </c>
    </row>
    <row r="37" spans="3:8" ht="12.75">
      <c r="C37" s="104"/>
      <c r="D37" s="106"/>
      <c r="E37" s="106"/>
      <c r="G37" s="15"/>
      <c r="H37" s="15"/>
    </row>
    <row r="38" ht="12.75">
      <c r="C38" s="104"/>
    </row>
    <row r="39" spans="3:5" ht="12.75">
      <c r="C39" s="104"/>
      <c r="D39" s="106"/>
      <c r="E39" s="106"/>
    </row>
    <row r="40" spans="3:5" ht="12.75">
      <c r="C40" s="104"/>
      <c r="D40" s="106"/>
      <c r="E40" s="106"/>
    </row>
    <row r="41" ht="12.75">
      <c r="C41" s="104"/>
    </row>
    <row r="42" spans="3:5" ht="12.75">
      <c r="C42" s="124"/>
      <c r="D42" s="122"/>
      <c r="E42" s="122"/>
    </row>
    <row r="43" ht="12.75">
      <c r="C43" s="104"/>
    </row>
    <row r="44" spans="3:5" ht="12.75">
      <c r="C44" s="104"/>
      <c r="D44" s="106"/>
      <c r="E44" s="106"/>
    </row>
    <row r="45" spans="4:5" ht="12.75">
      <c r="D45" s="125"/>
      <c r="E45" s="125"/>
    </row>
  </sheetData>
  <printOptions/>
  <pageMargins left="0.75" right="0.58" top="0.87" bottom="0.58" header="0.5" footer="0.29"/>
  <pageSetup fitToHeight="1" fitToWidth="1" horizontalDpi="600" verticalDpi="600" orientation="landscape" paperSize="9" scale="99" r:id="rId1"/>
  <headerFooter alignWithMargins="0">
    <oddFooter>&amp;L&amp;F - &amp;A&amp;RPascal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SBM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Nicholls</dc:creator>
  <cp:keywords/>
  <dc:description/>
  <cp:lastModifiedBy>David Nicholls</cp:lastModifiedBy>
  <cp:lastPrinted>2003-05-09T10:53:01Z</cp:lastPrinted>
  <dcterms:created xsi:type="dcterms:W3CDTF">2003-05-09T02:00:23Z</dcterms:created>
  <dcterms:modified xsi:type="dcterms:W3CDTF">2003-06-03T10:55:20Z</dcterms:modified>
  <cp:category/>
  <cp:version/>
  <cp:contentType/>
  <cp:contentStatus/>
</cp:coreProperties>
</file>